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4\"/>
    </mc:Choice>
  </mc:AlternateContent>
  <xr:revisionPtr revIDLastSave="0" documentId="13_ncr:1_{D059BF2A-6B2F-4A1C-AF05-2C5242332555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Kantone" sheetId="28" r:id="rId1"/>
    <sheet name="Graubünden" sheetId="27" r:id="rId2"/>
    <sheet name="Uebersetzungen" sheetId="29" state="hidden" r:id="rId3"/>
  </sheets>
  <externalReferences>
    <externalReference r:id="rId4"/>
  </externalReferences>
  <definedNames>
    <definedName name="_xlnm.Print_Area" localSheetId="1">Graubünden!$A$1:$K$48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7" l="1"/>
  <c r="B25" i="27"/>
  <c r="B21" i="27" l="1"/>
  <c r="J14" i="27"/>
  <c r="I14" i="27"/>
  <c r="H14" i="27"/>
  <c r="G14" i="27"/>
  <c r="F14" i="27"/>
  <c r="E14" i="27"/>
  <c r="I13" i="27"/>
  <c r="G13" i="27"/>
  <c r="E13" i="27"/>
  <c r="D46" i="29" l="1"/>
  <c r="D45" i="29"/>
  <c r="D44" i="29"/>
  <c r="D43" i="29"/>
  <c r="E46" i="29"/>
  <c r="E45" i="29"/>
  <c r="E44" i="29"/>
  <c r="E43" i="29"/>
  <c r="H13" i="28" l="1"/>
  <c r="F13" i="28"/>
  <c r="D13" i="28"/>
  <c r="B13" i="28"/>
  <c r="I14" i="28"/>
  <c r="H14" i="28"/>
  <c r="G14" i="28"/>
  <c r="F14" i="28"/>
  <c r="E14" i="28"/>
  <c r="D14" i="28"/>
  <c r="A45" i="27" l="1"/>
  <c r="A44" i="27"/>
  <c r="A43" i="27"/>
  <c r="A42" i="27"/>
  <c r="A46" i="28"/>
  <c r="A45" i="28"/>
  <c r="A44" i="28"/>
  <c r="D14" i="27"/>
  <c r="C14" i="27"/>
  <c r="C13" i="27"/>
  <c r="A10" i="27"/>
  <c r="A9" i="27"/>
  <c r="A9" i="28"/>
  <c r="A7" i="27"/>
  <c r="A7" i="28"/>
  <c r="A48" i="27"/>
  <c r="A47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4" i="27"/>
  <c r="B23" i="27"/>
  <c r="B22" i="27"/>
  <c r="B20" i="27"/>
  <c r="B19" i="27"/>
  <c r="B18" i="27"/>
  <c r="B16" i="27"/>
  <c r="B17" i="27"/>
  <c r="A16" i="27"/>
  <c r="A38" i="27"/>
  <c r="A27" i="27"/>
  <c r="A24" i="27"/>
  <c r="A22" i="27"/>
  <c r="A18" i="27"/>
  <c r="A15" i="27"/>
  <c r="C14" i="28"/>
  <c r="B14" i="28"/>
  <c r="A49" i="28" l="1"/>
  <c r="A48" i="28"/>
  <c r="A43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0" i="28"/>
</calcChain>
</file>

<file path=xl/sharedStrings.xml><?xml version="1.0" encoding="utf-8"?>
<sst xmlns="http://schemas.openxmlformats.org/spreadsheetml/2006/main" count="352" uniqueCount="280">
  <si>
    <t>Total</t>
  </si>
  <si>
    <t>Anzahl Personen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</si>
  <si>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</si>
  <si>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</si>
  <si>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</si>
  <si>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</si>
  <si>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</si>
  <si>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</si>
  <si>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</si>
  <si>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</si>
  <si>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</si>
  <si>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</si>
  <si>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</si>
  <si>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</si>
  <si>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</si>
  <si>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</si>
  <si>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</si>
  <si>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Aargau</t>
  </si>
  <si>
    <t>Thurgau</t>
  </si>
  <si>
    <t>Jura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</si>
  <si>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</si>
  <si>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</si>
  <si>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</si>
  <si>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</si>
  <si>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</si>
  <si>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</si>
  <si>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</si>
  <si>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</si>
  <si>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Arbeitsmarktstatus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</si>
  <si>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</si>
  <si>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</si>
  <si>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</si>
  <si>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</si>
  <si>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</si>
  <si>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</si>
  <si>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</si>
  <si>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</si>
  <si>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</si>
  <si>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</si>
  <si>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</si>
  <si>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Ungelernte Angestellte und Arbeiter</t>
  </si>
  <si>
    <t>Lernende in dualer beruflicher Grundbildung (Lehrlinge)</t>
  </si>
  <si>
    <t>Nicht zuteilbare Erwerbstätige (fehlende oder unklare Basisdaten oder unplausible Kombination)</t>
  </si>
  <si>
    <t>Erwerbslose und Nichterwerbspersonen</t>
  </si>
  <si>
    <t>Höchste abgeschlossene Ausbildung</t>
  </si>
  <si>
    <t>Sekundarstufe II</t>
  </si>
  <si>
    <t>Tertiärstufe</t>
  </si>
  <si>
    <t>Ständige schweizerische Wohnbevölkerung ab 15 Jahren</t>
  </si>
  <si>
    <t>Quelle: BFS (Strukturerhebung)</t>
  </si>
  <si>
    <t>Bern</t>
  </si>
  <si>
    <t>Freiburg</t>
  </si>
  <si>
    <t>Graubünden</t>
  </si>
  <si>
    <t>Wallis</t>
  </si>
  <si>
    <t>Tessin</t>
  </si>
  <si>
    <t>Waadt</t>
  </si>
  <si>
    <t>Neuenburg</t>
  </si>
  <si>
    <t>Genf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</si>
  <si>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</si>
  <si>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</si>
  <si>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</si>
  <si>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</si>
  <si>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</si>
  <si>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</si>
  <si>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</si>
  <si>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</si>
  <si>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</si>
  <si>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</si>
  <si>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</si>
  <si>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</si>
  <si>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</si>
  <si>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</si>
  <si>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</si>
  <si>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</si>
  <si>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</si>
  <si>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</si>
  <si>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</si>
  <si>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</si>
  <si>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</si>
  <si>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</si>
  <si>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</si>
  <si>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</si>
  <si>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</si>
  <si>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</si>
  <si>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</si>
  <si>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</si>
  <si>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</si>
  <si>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</si>
  <si>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</si>
  <si>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</si>
  <si>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</si>
  <si>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</si>
  <si>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</si>
  <si>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</si>
  <si>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</si>
  <si>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</si>
  <si>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</si>
  <si>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</si>
  <si>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</si>
  <si>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</si>
  <si>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</si>
  <si>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</si>
  <si>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</si>
  <si>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</si>
  <si>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</si>
  <si>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</si>
  <si>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&lt;Quelle_1&gt;</t>
  </si>
  <si>
    <t>T1-2</t>
  </si>
  <si>
    <t>T2</t>
  </si>
  <si>
    <t>&lt;T2Titel&gt;</t>
  </si>
  <si>
    <t>&lt;T2UTitel&gt;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</si>
  <si>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</si>
  <si>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</si>
  <si>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</si>
  <si>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</si>
  <si>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</si>
  <si>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&lt;T2Zeilentitel_6&gt;</t>
  </si>
  <si>
    <t>&lt;T2Zeilentitel_7&gt;</t>
  </si>
  <si>
    <t>&lt;SpaltenTitel_1.1&gt;</t>
  </si>
  <si>
    <t>&lt;SpaltenTitel_1.2&gt;</t>
  </si>
  <si>
    <t>&lt;T2Zeilentitel_2.1&gt;</t>
  </si>
  <si>
    <t>&lt;T2Zeilentitel_2.2&gt;</t>
  </si>
  <si>
    <t>&lt;T2Zeilentitel_3.1&gt;</t>
  </si>
  <si>
    <t>&lt;T2Zeilentitel_3.2&gt;</t>
  </si>
  <si>
    <t>&lt;T2Zeilentitel_4.1&gt;</t>
  </si>
  <si>
    <t>&lt;T2Zeilentitel_4.2&gt;</t>
  </si>
  <si>
    <t>&lt;T2Zeilentitel_5.1&gt;</t>
  </si>
  <si>
    <t>&lt;T2Zeilentitel_5.2&gt;</t>
  </si>
  <si>
    <t>&lt;T2Zeilentitel_7.1&gt;</t>
  </si>
  <si>
    <t>&lt;T2Zeilentitel_7.2&gt;</t>
  </si>
  <si>
    <t>&lt;T2Zeilentitel_7.3&gt;</t>
  </si>
  <si>
    <t>&lt;T2Zeilentitel_8&gt;</t>
  </si>
  <si>
    <t>&lt;T2Zeilentitel_3.3&gt;</t>
  </si>
  <si>
    <t>&lt;T2Zeilentitel_3.4&gt;</t>
  </si>
  <si>
    <t>&lt;T2Zeilentitel_7.4&gt;</t>
  </si>
  <si>
    <t>&lt;T2Zeilentitel_7.5&gt;</t>
  </si>
  <si>
    <t>&lt;T2Zeilentitel_7.6&gt;</t>
  </si>
  <si>
    <t>&lt;T2Zeilentitel_7.7&gt;</t>
  </si>
  <si>
    <t>&lt;T2Zeilentitel_7.8&gt;</t>
  </si>
  <si>
    <t>&lt;T2Zeilentitel_7.9&gt;</t>
  </si>
  <si>
    <t>&lt;T2Zeilentitel_7.10&gt;</t>
  </si>
  <si>
    <t>&lt;T2Zeilentitel_7.11&gt;</t>
  </si>
  <si>
    <t>&lt;T2Zeilentitel_8.1&gt;</t>
  </si>
  <si>
    <t>&lt;T2Zeilentitel_8.2&gt;</t>
  </si>
  <si>
    <t>&lt;T2Zeilentitel_8.3&gt;</t>
  </si>
  <si>
    <t>&lt;T2Aktualisierung&gt;</t>
  </si>
  <si>
    <t>Totale</t>
  </si>
  <si>
    <t>Numero di persone</t>
  </si>
  <si>
    <t>Fonte: UST - Rilevazione strutturale (RS)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</si>
  <si>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</si>
  <si>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</si>
  <si>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</si>
  <si>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</si>
  <si>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</si>
  <si>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</si>
  <si>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</si>
  <si>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</si>
  <si>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Friborgo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</si>
  <si>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</si>
  <si>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</si>
  <si>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</si>
  <si>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</si>
  <si>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</si>
  <si>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</si>
  <si>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</si>
  <si>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</si>
  <si>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</si>
  <si>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</si>
  <si>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</si>
  <si>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Vaud</t>
  </si>
  <si>
    <t>Vallese</t>
  </si>
  <si>
    <t>Neuchâtel</t>
  </si>
  <si>
    <t>Ginevra</t>
  </si>
  <si>
    <t>Giura</t>
  </si>
  <si>
    <t>Popolazione residente permanente svizzera di 15 anni e più</t>
  </si>
  <si>
    <t>Sesso</t>
  </si>
  <si>
    <t>Età</t>
  </si>
  <si>
    <t>Uomini</t>
  </si>
  <si>
    <t>Donne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</si>
  <si>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</si>
  <si>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</si>
  <si>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</si>
  <si>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</si>
  <si>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</si>
  <si>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</si>
  <si>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</si>
  <si>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</si>
  <si>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</si>
  <si>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</si>
  <si>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</si>
  <si>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</si>
  <si>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</si>
  <si>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</si>
  <si>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</si>
  <si>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</si>
  <si>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</si>
  <si>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Intervallo di confidenza: ± (in %)</t>
  </si>
  <si>
    <t>Sviz</t>
  </si>
  <si>
    <t>Soloturn</t>
  </si>
  <si>
    <t>Friburg</t>
  </si>
  <si>
    <t>Glaruna</t>
  </si>
  <si>
    <t>Schaffusa</t>
  </si>
  <si>
    <t>Sutsilvania</t>
  </si>
  <si>
    <t>Sursilvania</t>
  </si>
  <si>
    <t>Turitg</t>
  </si>
  <si>
    <t>Basilea-Citad</t>
  </si>
  <si>
    <t>Basilea-Champagna</t>
  </si>
  <si>
    <t>Appenzell Dadora</t>
  </si>
  <si>
    <t>Appenzell Dadens</t>
  </si>
  <si>
    <t>Son Gagl</t>
  </si>
  <si>
    <t>Genevra</t>
  </si>
  <si>
    <t>Vallais</t>
  </si>
  <si>
    <t>Vad</t>
  </si>
  <si>
    <t>Grischun</t>
  </si>
  <si>
    <t>Umens</t>
  </si>
  <si>
    <t>Dunnas</t>
  </si>
  <si>
    <t>Gender</t>
  </si>
  <si>
    <t>Vegliadetgna</t>
  </si>
  <si>
    <t>Status dal martgà da lavur</t>
  </si>
  <si>
    <t>Categorias socioprofessiunalas</t>
  </si>
  <si>
    <t>La pli auta scolaziun terminada</t>
  </si>
  <si>
    <t>Populaziun residenta permanenta da la Svizra a partir da 15 onns</t>
  </si>
  <si>
    <t>Professiuns libras ed egualas</t>
  </si>
  <si>
    <t>Autras persunas independentas</t>
  </si>
  <si>
    <t>Professiuns academicas e cader superiur</t>
  </si>
  <si>
    <t>professiuns intermediaras</t>
  </si>
  <si>
    <t>Professiuns betg manualas qualifitgadas</t>
  </si>
  <si>
    <t>Professiuns manualas qualifitgadas</t>
  </si>
  <si>
    <t>Emploiads e lavurants betg emprendids</t>
  </si>
  <si>
    <t>Emprendistas ed emprendists en ina furmaziun fundamentala professiunala dubla (emprendists)</t>
  </si>
  <si>
    <t>Persunas cun activitad da gudogn che n'èn betg attribuiblas (datas da basa mancantas u betg cleras u ina cumbinaziun inclausibla)</t>
  </si>
  <si>
    <t>Persunas senza activitad da gudogn e persunas senza activitad da gudogn</t>
  </si>
  <si>
    <t>Stgalim secundar II</t>
  </si>
  <si>
    <t>Stgalim terziar</t>
  </si>
  <si>
    <t>Management suprem</t>
  </si>
  <si>
    <t>Persunas senza activitad da gudogn</t>
  </si>
  <si>
    <t>Persunas cun activitad da gudogn</t>
  </si>
  <si>
    <t>Vertrauens- intervall: ± (in %)</t>
  </si>
  <si>
    <t>Interval da confidenza: ± (en %)</t>
  </si>
  <si>
    <t>Dumber da persunas</t>
  </si>
  <si>
    <t>Funtauna: UST (enquista da structura)</t>
  </si>
  <si>
    <t>&lt;SpaltenTitel_4&gt;</t>
  </si>
  <si>
    <t>Personen ohne Migrationshintergrund</t>
  </si>
  <si>
    <t>Personen mit Migrationshintergrund</t>
  </si>
  <si>
    <t>Migrationshintergrund unbekannt</t>
  </si>
  <si>
    <t>Migrationsstatus nach Kanton</t>
  </si>
  <si>
    <t>Persunas senza il passà da migraziun</t>
  </si>
  <si>
    <t>Persunas cun il passà da migraziun</t>
  </si>
  <si>
    <t>Persone senza passato migratorio</t>
  </si>
  <si>
    <t>Persone con passato migratorio</t>
  </si>
  <si>
    <t>Biografia da migraziun betg enconuschent</t>
  </si>
  <si>
    <t>Passato migratorio sconosciuto</t>
  </si>
  <si>
    <t>Status da migraziun tenor il chantun</t>
  </si>
  <si>
    <t>Statuto migratorio per cantone</t>
  </si>
  <si>
    <t>Migrationsstatus Kanton Graubünden</t>
  </si>
  <si>
    <t>Status da migraziun en il chantun Grischun</t>
  </si>
  <si>
    <t>Statuto migratorio nel cantone Grigioni</t>
  </si>
  <si>
    <t>Staatsangehörigkeit</t>
  </si>
  <si>
    <t>Naziunalitad</t>
  </si>
  <si>
    <t>Cittadinanza</t>
  </si>
  <si>
    <t>Status sul mercato del lavoro</t>
  </si>
  <si>
    <t>Categorie socioprofessionali</t>
  </si>
  <si>
    <t>Istruzione di massimo livello</t>
  </si>
  <si>
    <t>15-24</t>
  </si>
  <si>
    <t>15-64</t>
  </si>
  <si>
    <t>65 und älter</t>
  </si>
  <si>
    <t>65 e dapli</t>
  </si>
  <si>
    <t>65 e più</t>
  </si>
  <si>
    <t>Svizzera</t>
  </si>
  <si>
    <t>Estero</t>
  </si>
  <si>
    <t>Svizra</t>
  </si>
  <si>
    <t>Ester</t>
  </si>
  <si>
    <t>Schweiz</t>
  </si>
  <si>
    <t>Ausland</t>
  </si>
  <si>
    <t>&lt;T2Zeilentitel_5.3&gt;</t>
  </si>
  <si>
    <t>Ohne nachobligatorische Aubildung</t>
  </si>
  <si>
    <t>Senza furmaziun postobligatorica</t>
  </si>
  <si>
    <t>X</t>
  </si>
  <si>
    <t>Letztmals aktualisiert am: 29.01.2026</t>
  </si>
  <si>
    <t>Ultima actualisaziun: 29.01.2026</t>
  </si>
  <si>
    <t>Ulimo aggiornamento: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</si>
</sst>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1" formatCode="\(##0\)"/>
    <numFmt numFmtId="172" formatCode="\(#\'##0\)"/>
    <numFmt numFmtId="174" formatCode="* #,###"/>
  </numFmts>
  <fonts count="1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4C4C4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124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2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167" fontId="3" fillId="5" borderId="5" xfId="3" applyNumberFormat="1" applyFont="1" applyFill="1" applyBorder="1" applyAlignment="1" applyProtection="1">
      <alignment horizontal="right" vertical="center" wrapText="1"/>
    </xf>
    <xf numFmtId="0" fontId="0" fillId="4" borderId="0" xfId="0" applyFill="1"/>
    <xf numFmtId="0" fontId="15" fillId="4" borderId="0" xfId="0" applyFont="1" applyFill="1"/>
    <xf numFmtId="0" fontId="12" fillId="3" borderId="3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wrapText="1"/>
    </xf>
    <xf numFmtId="0" fontId="2" fillId="0" borderId="0" xfId="0" applyFont="1" applyBorder="1"/>
    <xf numFmtId="169" fontId="3" fillId="4" borderId="0" xfId="1" applyNumberFormat="1" applyFont="1" applyFill="1" applyBorder="1" applyAlignment="1" applyProtection="1">
      <alignment horizontal="right" vertical="center" wrapText="1"/>
    </xf>
    <xf numFmtId="167" fontId="3" fillId="4" borderId="0" xfId="1" applyNumberFormat="1" applyFont="1" applyFill="1" applyBorder="1" applyAlignment="1" applyProtection="1">
      <alignment horizontal="right" vertical="center" wrapText="1"/>
    </xf>
    <xf numFmtId="1" fontId="3" fillId="4" borderId="0" xfId="1" applyNumberFormat="1" applyFont="1" applyFill="1" applyBorder="1" applyAlignment="1" applyProtection="1">
      <alignment horizontal="righ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13" fillId="3" borderId="12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2" fillId="0" borderId="12" xfId="0" applyFont="1" applyBorder="1"/>
    <xf numFmtId="0" fontId="2" fillId="0" borderId="13" xfId="0" applyFont="1" applyBorder="1"/>
    <xf numFmtId="0" fontId="8" fillId="4" borderId="0" xfId="0" applyFont="1" applyFill="1" applyAlignment="1">
      <alignment horizontal="left" vertical="top" wrapText="1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>
      <alignment horizontal="left" vertical="center" wrapText="1"/>
    </xf>
    <xf numFmtId="0" fontId="12" fillId="3" borderId="36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167" fontId="3" fillId="4" borderId="0" xfId="3" applyNumberFormat="1" applyFont="1" applyFill="1" applyBorder="1" applyAlignment="1" applyProtection="1">
      <alignment horizontal="right" vertical="center" wrapText="1"/>
    </xf>
    <xf numFmtId="167" fontId="3" fillId="4" borderId="11" xfId="3" applyNumberFormat="1" applyFont="1" applyFill="1" applyBorder="1" applyAlignment="1" applyProtection="1">
      <alignment horizontal="right" vertical="center" wrapText="1"/>
    </xf>
    <xf numFmtId="167" fontId="3" fillId="4" borderId="5" xfId="3" applyNumberFormat="1" applyFont="1" applyFill="1" applyBorder="1" applyAlignment="1" applyProtection="1">
      <alignment horizontal="right" vertical="center" wrapText="1"/>
    </xf>
    <xf numFmtId="167" fontId="3" fillId="4" borderId="9" xfId="3" applyNumberFormat="1" applyFont="1" applyFill="1" applyBorder="1" applyAlignment="1" applyProtection="1">
      <alignment horizontal="right" vertical="center" wrapText="1"/>
    </xf>
    <xf numFmtId="3" fontId="3" fillId="4" borderId="10" xfId="3" applyNumberFormat="1" applyFont="1" applyFill="1" applyBorder="1" applyAlignment="1" applyProtection="1">
      <alignment horizontal="right" vertical="center" wrapText="1"/>
    </xf>
    <xf numFmtId="167" fontId="3" fillId="4" borderId="39" xfId="3" applyNumberFormat="1" applyFont="1" applyFill="1" applyBorder="1" applyAlignment="1" applyProtection="1">
      <alignment horizontal="right" vertical="center" wrapText="1"/>
    </xf>
    <xf numFmtId="171" fontId="3" fillId="4" borderId="4" xfId="3" applyNumberFormat="1" applyFont="1" applyFill="1" applyBorder="1" applyAlignment="1" applyProtection="1">
      <alignment horizontal="right" vertical="center" wrapText="1"/>
    </xf>
    <xf numFmtId="168" fontId="3" fillId="4" borderId="39" xfId="3" applyNumberFormat="1" applyFont="1" applyFill="1" applyBorder="1" applyAlignment="1" applyProtection="1">
      <alignment horizontal="right" vertical="center" wrapText="1"/>
    </xf>
    <xf numFmtId="172" fontId="3" fillId="4" borderId="4" xfId="3" applyNumberFormat="1" applyFont="1" applyFill="1" applyBorder="1" applyAlignment="1" applyProtection="1">
      <alignment horizontal="right" vertical="center" wrapText="1"/>
    </xf>
    <xf numFmtId="168" fontId="3" fillId="4" borderId="40" xfId="3" applyNumberFormat="1" applyFont="1" applyFill="1" applyBorder="1" applyAlignment="1" applyProtection="1">
      <alignment horizontal="right" vertical="center" wrapText="1"/>
    </xf>
    <xf numFmtId="167" fontId="3" fillId="5" borderId="0" xfId="3" applyNumberFormat="1" applyFont="1" applyFill="1" applyBorder="1" applyAlignment="1" applyProtection="1">
      <alignment horizontal="right" vertical="center" wrapText="1"/>
    </xf>
    <xf numFmtId="168" fontId="3" fillId="5" borderId="39" xfId="3" applyNumberFormat="1" applyFont="1" applyFill="1" applyBorder="1" applyAlignment="1" applyProtection="1">
      <alignment horizontal="right" vertical="center" wrapText="1"/>
    </xf>
    <xf numFmtId="168" fontId="3" fillId="4" borderId="0" xfId="3" applyNumberFormat="1" applyFont="1" applyFill="1" applyBorder="1" applyAlignment="1" applyProtection="1">
      <alignment horizontal="right" vertical="center" wrapText="1"/>
    </xf>
    <xf numFmtId="168" fontId="3" fillId="4" borderId="5" xfId="3" applyNumberFormat="1" applyFont="1" applyFill="1" applyBorder="1" applyAlignment="1" applyProtection="1">
      <alignment horizontal="right" vertical="center" wrapText="1"/>
    </xf>
    <xf numFmtId="3" fontId="3" fillId="4" borderId="4" xfId="3" applyNumberFormat="1" applyFont="1" applyFill="1" applyBorder="1" applyAlignment="1" applyProtection="1">
      <alignment horizontal="right" vertical="center" wrapText="1"/>
    </xf>
    <xf numFmtId="167" fontId="3" fillId="4" borderId="40" xfId="3" applyNumberFormat="1" applyFont="1" applyFill="1" applyBorder="1" applyAlignment="1" applyProtection="1">
      <alignment horizontal="right" vertical="center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9" fillId="5" borderId="27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20" xfId="0" applyFont="1" applyFill="1" applyBorder="1" applyAlignment="1">
      <alignment horizontal="center" vertical="top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167" fontId="3" fillId="4" borderId="6" xfId="3" applyNumberFormat="1" applyFont="1" applyFill="1" applyBorder="1" applyAlignment="1" applyProtection="1">
      <alignment horizontal="righ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3" fontId="3" fillId="5" borderId="24" xfId="3" applyNumberFormat="1" applyFont="1" applyFill="1" applyBorder="1" applyAlignment="1" applyProtection="1">
      <alignment horizontal="left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4" borderId="24" xfId="1" applyNumberFormat="1" applyFont="1" applyFill="1" applyBorder="1" applyAlignment="1" applyProtection="1">
      <alignment horizontal="right" vertical="top" wrapText="1"/>
    </xf>
    <xf numFmtId="0" fontId="12" fillId="4" borderId="41" xfId="1" applyNumberFormat="1" applyFont="1" applyFill="1" applyBorder="1" applyAlignment="1" applyProtection="1">
      <alignment horizontal="right" vertical="top" wrapText="1"/>
    </xf>
    <xf numFmtId="0" fontId="12" fillId="4" borderId="37" xfId="1" applyNumberFormat="1" applyFont="1" applyFill="1" applyBorder="1" applyAlignment="1" applyProtection="1">
      <alignment horizontal="right" vertical="top" wrapText="1"/>
    </xf>
    <xf numFmtId="0" fontId="12" fillId="4" borderId="34" xfId="1" applyNumberFormat="1" applyFont="1" applyFill="1" applyBorder="1" applyAlignment="1" applyProtection="1">
      <alignment horizontal="right" vertical="top" wrapText="1"/>
    </xf>
    <xf numFmtId="0" fontId="12" fillId="4" borderId="0" xfId="1" applyNumberFormat="1" applyFont="1" applyFill="1" applyBorder="1" applyAlignment="1" applyProtection="1">
      <alignment horizontal="right" vertical="top" wrapText="1"/>
    </xf>
    <xf numFmtId="0" fontId="12" fillId="4" borderId="38" xfId="1" applyNumberFormat="1" applyFont="1" applyFill="1" applyBorder="1" applyAlignment="1" applyProtection="1">
      <alignment horizontal="right" vertical="top" wrapText="1"/>
    </xf>
    <xf numFmtId="174" fontId="11" fillId="4" borderId="36" xfId="3" applyNumberFormat="1" applyFont="1" applyFill="1" applyBorder="1" applyAlignment="1" applyProtection="1">
      <alignment horizontal="right" vertical="center" wrapText="1"/>
    </xf>
    <xf numFmtId="167" fontId="11" fillId="4" borderId="42" xfId="3" applyNumberFormat="1" applyFont="1" applyFill="1" applyBorder="1" applyAlignment="1" applyProtection="1">
      <alignment horizontal="right" vertical="center" wrapText="1"/>
    </xf>
    <xf numFmtId="3" fontId="3" fillId="4" borderId="7" xfId="3" applyNumberFormat="1" applyFont="1" applyFill="1" applyBorder="1" applyAlignment="1" applyProtection="1">
      <alignment horizontal="right" vertical="center" wrapText="1"/>
    </xf>
    <xf numFmtId="3" fontId="3" fillId="4" borderId="8" xfId="3" applyNumberFormat="1" applyFont="1" applyFill="1" applyBorder="1" applyAlignment="1" applyProtection="1">
      <alignment horizontal="right" vertical="center" wrapText="1"/>
    </xf>
    <xf numFmtId="3" fontId="3" fillId="5" borderId="7" xfId="3" applyNumberFormat="1" applyFont="1" applyFill="1" applyBorder="1" applyAlignment="1" applyProtection="1">
      <alignment horizontal="right" vertical="center" wrapText="1"/>
    </xf>
    <xf numFmtId="167" fontId="11" fillId="4" borderId="44" xfId="3" applyNumberFormat="1" applyFont="1" applyFill="1" applyBorder="1" applyAlignment="1" applyProtection="1">
      <alignment horizontal="right" vertical="center" wrapText="1"/>
    </xf>
    <xf numFmtId="174" fontId="11" fillId="4" borderId="45" xfId="3" applyNumberFormat="1" applyFont="1" applyFill="1" applyBorder="1" applyAlignment="1" applyProtection="1">
      <alignment horizontal="right" vertical="center" wrapText="1"/>
    </xf>
    <xf numFmtId="3" fontId="3" fillId="5" borderId="4" xfId="3" applyNumberFormat="1" applyFont="1" applyFill="1" applyBorder="1" applyAlignment="1" applyProtection="1">
      <alignment horizontal="right" vertical="center" wrapText="1"/>
    </xf>
    <xf numFmtId="167" fontId="11" fillId="4" borderId="46" xfId="3" applyNumberFormat="1" applyFont="1" applyFill="1" applyBorder="1" applyAlignment="1" applyProtection="1">
      <alignment horizontal="right" vertical="center" wrapText="1"/>
    </xf>
    <xf numFmtId="171" fontId="3" fillId="5" borderId="4" xfId="3" applyNumberFormat="1" applyFont="1" applyFill="1" applyBorder="1" applyAlignment="1" applyProtection="1">
      <alignment horizontal="right" vertical="center" wrapText="1"/>
    </xf>
    <xf numFmtId="171" fontId="3" fillId="4" borderId="10" xfId="3" applyNumberFormat="1" applyFont="1" applyFill="1" applyBorder="1" applyAlignment="1" applyProtection="1">
      <alignment horizontal="right" vertical="center" wrapText="1"/>
    </xf>
    <xf numFmtId="0" fontId="12" fillId="4" borderId="47" xfId="1" applyNumberFormat="1" applyFont="1" applyFill="1" applyBorder="1" applyAlignment="1" applyProtection="1">
      <alignment horizontal="right" vertical="top" wrapText="1"/>
    </xf>
    <xf numFmtId="0" fontId="12" fillId="4" borderId="44" xfId="1" applyNumberFormat="1" applyFont="1" applyFill="1" applyBorder="1" applyAlignment="1" applyProtection="1">
      <alignment horizontal="right" vertical="top" wrapText="1"/>
    </xf>
    <xf numFmtId="0" fontId="12" fillId="4" borderId="36" xfId="1" applyNumberFormat="1" applyFont="1" applyFill="1" applyBorder="1" applyAlignment="1" applyProtection="1">
      <alignment horizontal="right" vertical="top" wrapText="1"/>
    </xf>
    <xf numFmtId="0" fontId="12" fillId="4" borderId="42" xfId="1" applyNumberFormat="1" applyFont="1" applyFill="1" applyBorder="1" applyAlignment="1" applyProtection="1">
      <alignment horizontal="right" vertical="top" wrapText="1"/>
    </xf>
    <xf numFmtId="0" fontId="12" fillId="4" borderId="45" xfId="1" applyNumberFormat="1" applyFont="1" applyFill="1" applyBorder="1" applyAlignment="1" applyProtection="1">
      <alignment horizontal="right" vertical="top" wrapText="1"/>
    </xf>
    <xf numFmtId="0" fontId="12" fillId="4" borderId="43" xfId="1" applyNumberFormat="1" applyFont="1" applyFill="1" applyBorder="1" applyAlignment="1" applyProtection="1">
      <alignment horizontal="right" vertical="top" wrapText="1"/>
    </xf>
    <xf numFmtId="172" fontId="3" fillId="4" borderId="7" xfId="3" applyNumberFormat="1" applyFont="1" applyFill="1" applyBorder="1" applyAlignment="1" applyProtection="1">
      <alignment horizontal="right" vertical="center" wrapText="1"/>
    </xf>
    <xf numFmtId="171" fontId="11" fillId="4" borderId="45" xfId="3" applyNumberFormat="1" applyFont="1" applyFill="1" applyBorder="1" applyAlignment="1" applyProtection="1">
      <alignment horizontal="right" vertical="center" wrapText="1"/>
    </xf>
    <xf numFmtId="168" fontId="11" fillId="4" borderId="46" xfId="3" applyNumberFormat="1" applyFont="1" applyFill="1" applyBorder="1" applyAlignment="1" applyProtection="1">
      <alignment horizontal="right" vertical="center" wrapText="1"/>
    </xf>
    <xf numFmtId="3" fontId="3" fillId="4" borderId="36" xfId="3" applyNumberFormat="1" applyFont="1" applyFill="1" applyBorder="1" applyAlignment="1" applyProtection="1">
      <alignment horizontal="right" vertical="center" wrapText="1"/>
    </xf>
    <xf numFmtId="167" fontId="3" fillId="4" borderId="44" xfId="3" applyNumberFormat="1" applyFont="1" applyFill="1" applyBorder="1" applyAlignment="1" applyProtection="1">
      <alignment horizontal="right" vertical="center" wrapText="1"/>
    </xf>
    <xf numFmtId="3" fontId="3" fillId="4" borderId="45" xfId="3" applyNumberFormat="1" applyFont="1" applyFill="1" applyBorder="1" applyAlignment="1" applyProtection="1">
      <alignment horizontal="right" vertical="center" wrapText="1"/>
    </xf>
    <xf numFmtId="167" fontId="3" fillId="4" borderId="42" xfId="3" applyNumberFormat="1" applyFont="1" applyFill="1" applyBorder="1" applyAlignment="1" applyProtection="1">
      <alignment horizontal="right" vertical="center" wrapText="1"/>
    </xf>
    <xf numFmtId="171" fontId="3" fillId="4" borderId="45" xfId="3" applyNumberFormat="1" applyFont="1" applyFill="1" applyBorder="1" applyAlignment="1" applyProtection="1">
      <alignment horizontal="right" vertical="center" wrapText="1"/>
    </xf>
    <xf numFmtId="168" fontId="3" fillId="4" borderId="46" xfId="3" applyNumberFormat="1" applyFont="1" applyFill="1" applyBorder="1" applyAlignment="1" applyProtection="1">
      <alignment horizontal="right" vertical="center" wrapText="1"/>
    </xf>
    <xf numFmtId="3" fontId="3" fillId="4" borderId="32" xfId="3" applyNumberFormat="1" applyFont="1" applyFill="1" applyBorder="1" applyAlignment="1" applyProtection="1">
      <alignment horizontal="right" vertical="center" wrapText="1"/>
    </xf>
    <xf numFmtId="167" fontId="3" fillId="4" borderId="48" xfId="3" applyNumberFormat="1" applyFont="1" applyFill="1" applyBorder="1" applyAlignment="1" applyProtection="1">
      <alignment horizontal="right" vertical="center" wrapText="1"/>
    </xf>
    <xf numFmtId="3" fontId="3" fillId="4" borderId="49" xfId="3" applyNumberFormat="1" applyFont="1" applyFill="1" applyBorder="1" applyAlignment="1" applyProtection="1">
      <alignment horizontal="right" vertical="center" wrapText="1"/>
    </xf>
    <xf numFmtId="171" fontId="3" fillId="4" borderId="49" xfId="3" applyNumberFormat="1" applyFont="1" applyFill="1" applyBorder="1" applyAlignment="1" applyProtection="1">
      <alignment horizontal="right" vertical="center" wrapText="1"/>
    </xf>
    <xf numFmtId="168" fontId="3" fillId="4" borderId="50" xfId="3" applyNumberFormat="1" applyFont="1" applyFill="1" applyBorder="1" applyAlignment="1" applyProtection="1">
      <alignment horizontal="right" vertical="center" wrapText="1"/>
    </xf>
    <xf numFmtId="167" fontId="3" fillId="4" borderId="50" xfId="3" applyNumberFormat="1" applyFont="1" applyFill="1" applyBorder="1" applyAlignment="1" applyProtection="1">
      <alignment horizontal="right" vertical="center" wrapText="1"/>
    </xf>
    <xf numFmtId="168" fontId="3" fillId="4" borderId="44" xfId="3" applyNumberFormat="1" applyFont="1" applyFill="1" applyBorder="1" applyAlignment="1" applyProtection="1">
      <alignment horizontal="right" vertical="center" wrapText="1"/>
    </xf>
    <xf numFmtId="167" fontId="3" fillId="4" borderId="46" xfId="3" applyNumberFormat="1" applyFont="1" applyFill="1" applyBorder="1" applyAlignment="1" applyProtection="1">
      <alignment horizontal="right" vertical="center" wrapText="1"/>
    </xf>
  </cellXfs>
  <cellStyles count="11">
    <cellStyle name="Komma" xfId="1" builtinId="3"/>
    <cellStyle name="Komma 2" xfId="2" xr:uid="{00000000-0005-0000-0000-000001000000}"/>
    <cellStyle name="Komma 3" xfId="3" xr:uid="{00000000-0005-0000-0000-000002000000}"/>
    <cellStyle name="Normale 2" xfId="10" xr:uid="{00000000-0005-0000-0000-000003000000}"/>
    <cellStyle name="Standard" xfId="0" builtinId="0"/>
    <cellStyle name="Standard 2" xfId="4" xr:uid="{00000000-0005-0000-0000-000005000000}"/>
    <cellStyle name="Standard 2 2" xfId="7" xr:uid="{00000000-0005-0000-0000-000006000000}"/>
    <cellStyle name="Standard 3" xfId="5" xr:uid="{00000000-0005-0000-0000-000007000000}"/>
    <cellStyle name="Standard 4" xfId="6" xr:uid="{00000000-0005-0000-0000-000008000000}"/>
    <cellStyle name="Standard 4 2" xfId="8" xr:uid="{00000000-0005-0000-0000-000009000000}"/>
    <cellStyle name="Standard 5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854075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876300</xdr:colOff>
      <xdr:row>0</xdr:row>
      <xdr:rowOff>19050</xdr:rowOff>
    </xdr:from>
    <xdr:to>
      <xdr:col>7</xdr:col>
      <xdr:colOff>800714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6390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663575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695325</xdr:colOff>
      <xdr:row>0</xdr:row>
      <xdr:rowOff>19050</xdr:rowOff>
    </xdr:from>
    <xdr:to>
      <xdr:col>6</xdr:col>
      <xdr:colOff>410189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awt_daten\05%20-%20Statistik\1.Daten\01%20BEVOELKERUNG\Bev&#246;lkerung%20-%20Strukturerhebung\2023\1020_Doppelbuergerschaften,%20Schweiz%20und%20Graubuende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z 2022"/>
      <sheetName val="Graubünden 2022"/>
      <sheetName val="Uebersetzungen"/>
    </sheetNames>
    <sheetDataSet>
      <sheetData sheetId="0"/>
      <sheetData sheetId="1"/>
      <sheetData sheetId="2">
        <row r="2">
          <cell r="B2">
            <v>1</v>
          </cell>
        </row>
        <row r="3">
          <cell r="B3" t="str">
            <v>&lt;Fachbereich&gt;</v>
          </cell>
          <cell r="C3" t="str">
            <v>Daten &amp; Statistik</v>
          </cell>
          <cell r="D3" t="str">
            <v>Datas &amp; Statistica</v>
          </cell>
          <cell r="E3" t="str">
            <v>Dati &amp; Statistica</v>
          </cell>
        </row>
        <row r="4">
          <cell r="B4" t="str">
            <v>&lt;Titel&gt;</v>
          </cell>
          <cell r="C4" t="str">
            <v>Doppelbürgerschaft nach soziodemografischen Merkmalen und Kanton</v>
          </cell>
          <cell r="D4" t="str">
            <v>Natiralisaziun dubla tenor caracteristicas sociodemograficas e tenor il chantun</v>
          </cell>
          <cell r="E4" t="str">
            <v>Doppia cittadinanza secondo diverse caratteristiche socio-demografiche e il Cantone</v>
          </cell>
        </row>
        <row r="5">
          <cell r="B5" t="str">
            <v>&lt;UTitel&gt;</v>
          </cell>
          <cell r="C5" t="str">
            <v>Ständige schweizerische Wohnbevölkerung ab 15 Jahren</v>
          </cell>
          <cell r="D5" t="str">
            <v>Populaziun residenta permanenta da la Svizra a partir da 15 onns</v>
          </cell>
          <cell r="E5" t="str">
            <v>Popolazione residente permanente svizzera di 15 anni e più</v>
          </cell>
        </row>
        <row r="6">
          <cell r="B6"/>
          <cell r="C6"/>
          <cell r="D6"/>
          <cell r="E6"/>
        </row>
        <row r="7">
          <cell r="B7" t="str">
            <v>&lt;SpaltenTitel_1&gt;</v>
          </cell>
          <cell r="C7" t="str">
            <v>Total</v>
          </cell>
          <cell r="D7" t="str">
            <v>Total</v>
          </cell>
          <cell r="E7" t="str">
            <v>Totale</v>
          </cell>
        </row>
        <row r="8">
          <cell r="B8" t="str">
            <v>&lt;SpaltenTitel_2&gt;</v>
          </cell>
          <cell r="C8" t="str">
            <v>Schweizer mit weiterer Staatsangehörigkeit</v>
          </cell>
          <cell r="D8" t="str">
            <v>Svizras e Svizzers cun in'ulteriura naziunalitad</v>
          </cell>
          <cell r="E8" t="str">
            <v>Svizzeri/e con un'altra cittadinanza</v>
          </cell>
        </row>
        <row r="9">
          <cell r="B9" t="str">
            <v>&lt;SpaltenTitel_3&gt;</v>
          </cell>
          <cell r="C9" t="str">
            <v>Schweizer ohne weitere Staatsangehörigkeit</v>
          </cell>
          <cell r="D9" t="str">
            <v>Svizzers senza ulteriura naziunalitad</v>
          </cell>
          <cell r="E9" t="str">
            <v>Svizzeri/e che non hanno un'altra cittadinanza</v>
          </cell>
        </row>
        <row r="10">
          <cell r="B10"/>
          <cell r="C10"/>
          <cell r="D10"/>
          <cell r="E10"/>
        </row>
        <row r="11">
          <cell r="B11" t="str">
            <v>&lt;SpaltenTitel_1.1&gt;</v>
          </cell>
          <cell r="C11" t="str">
            <v>Anzahl Personen</v>
          </cell>
          <cell r="D11" t="str">
            <v>Dumber da persunas</v>
          </cell>
          <cell r="E11" t="str">
            <v>Numero di persone</v>
          </cell>
        </row>
        <row r="12">
          <cell r="B12" t="str">
            <v>&lt;SpaltenTitel_1.2&gt;</v>
          </cell>
          <cell r="C12" t="str">
            <v>Vertrauens- intervall: ± (in %)</v>
          </cell>
          <cell r="D12" t="str">
            <v>Interval da confidenza: ± (en %)</v>
          </cell>
          <cell r="E12" t="str">
            <v>Intervallo di confidenza: ± (in %)</v>
          </cell>
        </row>
        <row r="13">
          <cell r="B13" t="str">
            <v>&lt;SpaltenTitel_2.1&gt;</v>
          </cell>
          <cell r="C13" t="str">
            <v>Anzahl Personen</v>
          </cell>
          <cell r="D13" t="str">
            <v>Dumber da persunas</v>
          </cell>
          <cell r="E13" t="str">
            <v>Numero di persone</v>
          </cell>
        </row>
        <row r="14">
          <cell r="B14" t="str">
            <v>&lt;SpaltenTitel_2.2&gt;</v>
          </cell>
          <cell r="C14" t="str">
            <v>Vertrauens- intervall: ± (in %)</v>
          </cell>
          <cell r="D14" t="str">
            <v>Interval da confidenza: ± (en %)</v>
          </cell>
          <cell r="E14" t="str">
            <v>Intervallo di confidenza: ± (in %)</v>
          </cell>
        </row>
        <row r="15">
          <cell r="B15" t="str">
            <v>&lt;SpaltenTitel_3.1&gt;</v>
          </cell>
          <cell r="C15" t="str">
            <v>Anzahl Personen</v>
          </cell>
          <cell r="D15" t="str">
            <v>Dumber da persunas</v>
          </cell>
          <cell r="E15" t="str">
            <v>Numero di persone</v>
          </cell>
        </row>
        <row r="16">
          <cell r="B16" t="str">
            <v>&lt;SpaltenTitel_3.2&gt;</v>
          </cell>
          <cell r="C16" t="str">
            <v>Vertrauens- intervall: ± (in %)</v>
          </cell>
          <cell r="D16" t="str">
            <v>Interval da confidenza: ± (en %)</v>
          </cell>
          <cell r="E16" t="str">
            <v>Intervallo di confidenza: ± (in %)</v>
          </cell>
        </row>
        <row r="17">
          <cell r="B17"/>
          <cell r="C17"/>
          <cell r="D17"/>
          <cell r="E17"/>
        </row>
        <row r="18">
          <cell r="B18" t="str">
            <v>&lt;Zeilentitel_1&gt;</v>
          </cell>
          <cell r="C18" t="str">
            <v>Total</v>
          </cell>
          <cell r="D18" t="str">
            <v>Total</v>
          </cell>
          <cell r="E18" t="str">
            <v>Totale</v>
          </cell>
        </row>
        <row r="19">
          <cell r="B19" t="str">
            <v>&lt;Zeilentitel_2&gt;</v>
          </cell>
          <cell r="C19" t="str">
            <v>Zürich</v>
          </cell>
          <cell r="D19" t="str">
            <v>Turitg</v>
          </cell>
          <cell r="E19" t="str">
            <v>Zurigo</v>
          </cell>
        </row>
        <row r="20">
          <cell r="B20" t="str">
            <v>&lt;Zeilentitel_3&gt;</v>
          </cell>
          <cell r="C20" t="str">
            <v>Bern</v>
          </cell>
          <cell r="D20" t="str">
            <v>Berna</v>
          </cell>
          <cell r="E20" t="str">
            <v>Berna</v>
          </cell>
        </row>
        <row r="21">
          <cell r="B21" t="str">
            <v>&lt;Zeilentitel_4&gt;</v>
          </cell>
          <cell r="C21" t="str">
            <v>Luzern</v>
          </cell>
          <cell r="D21" t="str">
            <v>Lucerna</v>
          </cell>
          <cell r="E21" t="str">
            <v>Lucerna</v>
          </cell>
        </row>
        <row r="22">
          <cell r="B22" t="str">
            <v>&lt;Zeilentitel_5&gt;</v>
          </cell>
          <cell r="C22" t="str">
            <v>Uri</v>
          </cell>
          <cell r="D22" t="str">
            <v>Uri</v>
          </cell>
          <cell r="E22" t="str">
            <v>Uri</v>
          </cell>
        </row>
        <row r="23">
          <cell r="B23" t="str">
            <v>&lt;Zeilentitel_6&gt;</v>
          </cell>
          <cell r="C23" t="str">
            <v>Schwyz</v>
          </cell>
          <cell r="D23" t="str">
            <v>Sviz</v>
          </cell>
          <cell r="E23" t="str">
            <v>Svitto</v>
          </cell>
        </row>
        <row r="24">
          <cell r="B24" t="str">
            <v>&lt;Zeilentitel_7&gt;</v>
          </cell>
          <cell r="C24" t="str">
            <v>Obwalden</v>
          </cell>
          <cell r="D24" t="str">
            <v>Sursilvania</v>
          </cell>
          <cell r="E24" t="str">
            <v>Obvaldo</v>
          </cell>
        </row>
        <row r="25">
          <cell r="B25" t="str">
            <v>&lt;Zeilentitel_8&gt;</v>
          </cell>
          <cell r="C25" t="str">
            <v>Nidwalden</v>
          </cell>
          <cell r="D25" t="str">
            <v>Sutsilvania</v>
          </cell>
          <cell r="E25" t="str">
            <v>Nidvaldo</v>
          </cell>
        </row>
        <row r="26">
          <cell r="B26" t="str">
            <v>&lt;Zeilentitel_9&gt;</v>
          </cell>
          <cell r="C26" t="str">
            <v>Glarus</v>
          </cell>
          <cell r="D26" t="str">
            <v>Glaruna</v>
          </cell>
          <cell r="E26" t="str">
            <v>Glarona</v>
          </cell>
        </row>
        <row r="27">
          <cell r="B27" t="str">
            <v>&lt;Zeilentitel_10&gt;</v>
          </cell>
          <cell r="C27" t="str">
            <v>Zug</v>
          </cell>
          <cell r="D27" t="str">
            <v>Zug</v>
          </cell>
          <cell r="E27" t="str">
            <v>Zugo</v>
          </cell>
        </row>
        <row r="28">
          <cell r="B28" t="str">
            <v>&lt;Zeilentitel_11&gt;</v>
          </cell>
          <cell r="C28" t="str">
            <v>Freiburg</v>
          </cell>
          <cell r="D28" t="str">
            <v>Friburg</v>
          </cell>
          <cell r="E28" t="str">
            <v>Friborgo</v>
          </cell>
        </row>
        <row r="29">
          <cell r="B29" t="str">
            <v>&lt;Zeilentitel_12&gt;</v>
          </cell>
          <cell r="C29" t="str">
            <v>Solothurn</v>
          </cell>
          <cell r="D29" t="str">
            <v>Soloturn</v>
          </cell>
          <cell r="E29" t="str">
            <v>Soletta</v>
          </cell>
        </row>
        <row r="30">
          <cell r="B30" t="str">
            <v>&lt;Zeilentitel_13&gt;</v>
          </cell>
          <cell r="C30" t="str">
            <v>Basel-Stadt</v>
          </cell>
          <cell r="D30" t="str">
            <v>Basilea-Citad</v>
          </cell>
          <cell r="E30" t="str">
            <v>Basilea Città</v>
          </cell>
        </row>
        <row r="31">
          <cell r="B31" t="str">
            <v>&lt;Zeilentitel_14&gt;</v>
          </cell>
          <cell r="C31" t="str">
            <v>Basel-Landschaft</v>
          </cell>
          <cell r="D31" t="str">
            <v>Basilea-Champagna</v>
          </cell>
          <cell r="E31" t="str">
            <v>Basilea Campagna</v>
          </cell>
        </row>
        <row r="32">
          <cell r="B32" t="str">
            <v>&lt;Zeilentitel_15&gt;</v>
          </cell>
          <cell r="C32" t="str">
            <v>Schaffhausen</v>
          </cell>
          <cell r="D32" t="str">
            <v>Schaffusa</v>
          </cell>
          <cell r="E32" t="str">
            <v>Sciaffusa</v>
          </cell>
        </row>
        <row r="33">
          <cell r="B33" t="str">
            <v>&lt;Zeilentitel_16&gt;</v>
          </cell>
          <cell r="C33" t="str">
            <v>Appenzell Ausserrhoden</v>
          </cell>
          <cell r="D33" t="str">
            <v>Appenzell Dadora</v>
          </cell>
          <cell r="E33" t="str">
            <v>Appenzello Esterno</v>
          </cell>
        </row>
        <row r="34">
          <cell r="B34" t="str">
            <v>&lt;Zeilentitel_17&gt;</v>
          </cell>
          <cell r="C34" t="str">
            <v>Appenzell Innerrhoden</v>
          </cell>
          <cell r="D34" t="str">
            <v>Appenzell Dadens</v>
          </cell>
          <cell r="E34" t="str">
            <v>Appenzello Interno</v>
          </cell>
        </row>
        <row r="35">
          <cell r="B35" t="str">
            <v>&lt;Zeilentitel_18&gt;</v>
          </cell>
          <cell r="C35" t="str">
            <v>St. Gallen</v>
          </cell>
          <cell r="D35" t="str">
            <v>Son Gagl</v>
          </cell>
          <cell r="E35" t="str">
            <v>San Gallo</v>
          </cell>
        </row>
        <row r="36">
          <cell r="B36" t="str">
            <v>&lt;Zeilentitel_19&gt;</v>
          </cell>
          <cell r="C36" t="str">
            <v>Graubünden</v>
          </cell>
          <cell r="D36" t="str">
            <v>Grischun</v>
          </cell>
          <cell r="E36" t="str">
            <v>Grigioni</v>
          </cell>
        </row>
        <row r="37">
          <cell r="B37" t="str">
            <v>&lt;Zeilentitel_20&gt;</v>
          </cell>
          <cell r="C37" t="str">
            <v>Aargau</v>
          </cell>
          <cell r="D37" t="str">
            <v>Argovia</v>
          </cell>
          <cell r="E37" t="str">
            <v>Argovia</v>
          </cell>
        </row>
        <row r="38">
          <cell r="B38" t="str">
            <v>&lt;Zeilentitel_21&gt;</v>
          </cell>
          <cell r="C38" t="str">
            <v>Thurgau</v>
          </cell>
          <cell r="D38" t="str">
            <v>Turgovia</v>
          </cell>
          <cell r="E38" t="str">
            <v>Turgovia</v>
          </cell>
        </row>
        <row r="39">
          <cell r="B39" t="str">
            <v>&lt;Zeilentitel_22&gt;</v>
          </cell>
          <cell r="C39" t="str">
            <v>Tessin</v>
          </cell>
          <cell r="D39" t="str">
            <v>Tessin</v>
          </cell>
          <cell r="E39" t="str">
            <v>Ticino</v>
          </cell>
        </row>
        <row r="40">
          <cell r="B40" t="str">
            <v>&lt;Zeilentitel_23&gt;</v>
          </cell>
          <cell r="C40" t="str">
            <v>Waadt</v>
          </cell>
          <cell r="D40" t="str">
            <v>Vad</v>
          </cell>
          <cell r="E40" t="str">
            <v>Vaud</v>
          </cell>
        </row>
        <row r="41">
          <cell r="B41" t="str">
            <v>&lt;Zeilentitel_24&gt;</v>
          </cell>
          <cell r="C41" t="str">
            <v>Wallis</v>
          </cell>
          <cell r="D41" t="str">
            <v>Vallais</v>
          </cell>
          <cell r="E41" t="str">
            <v>Vallese</v>
          </cell>
        </row>
        <row r="42">
          <cell r="B42" t="str">
            <v>&lt;Zeilentitel_25&gt;</v>
          </cell>
          <cell r="C42" t="str">
            <v>Neuenburg</v>
          </cell>
          <cell r="D42" t="str">
            <v>Neuchâtel</v>
          </cell>
          <cell r="E42" t="str">
            <v>Neuchâtel</v>
          </cell>
        </row>
        <row r="43">
          <cell r="B43" t="str">
            <v>&lt;Zeilentitel_26&gt;</v>
          </cell>
          <cell r="C43" t="str">
            <v>Genf</v>
          </cell>
          <cell r="D43" t="str">
            <v>Genevra</v>
          </cell>
          <cell r="E43" t="str">
            <v>Ginevra</v>
          </cell>
        </row>
        <row r="44">
          <cell r="B44" t="str">
            <v>&lt;Zeilentitel_27&gt;</v>
          </cell>
          <cell r="C44" t="str">
            <v>Jura</v>
          </cell>
          <cell r="D44" t="str">
            <v>Giura</v>
          </cell>
          <cell r="E44" t="str">
            <v>Giura</v>
          </cell>
        </row>
        <row r="45">
          <cell r="B45"/>
          <cell r="C45"/>
          <cell r="D45"/>
          <cell r="E45"/>
        </row>
        <row r="46">
          <cell r="B46" t="str">
            <v>&lt;Legende_1&gt;</v>
          </cell>
          <cell r="C46" t="str">
            <v>(): Extrapolation aufgrund von 49 oder weniger Beobachtungen. Die Resultate sind mit grosser Vorsicht zu interpretieren.</v>
          </cell>
          <cell r="D46" t="str">
            <v>(): Extrapolaziun sin basa da 49 u damain observaziuns. Ils resultats ston vegnir interpretads cun gronda precauziun.</v>
          </cell>
          <cell r="E46" t="str">
            <v>(): Estrapolazione basata su meno di 50 osservazioni. I risultati sono da interpretare con molta precauzione.</v>
          </cell>
        </row>
        <row r="47">
          <cell r="B47" t="str">
            <v>&lt;Legende_2&gt;</v>
          </cell>
          <cell r="C47" t="str">
            <v>X: Extrapolation aufgrund von 4 oder weniger Beobachtungen. Die Resultate werden aus Gründen des Datenschutzes nicht publiziert.</v>
          </cell>
          <cell r="D47" t="str">
            <v>X: Extrapolaziun pervia da 4 u damain observaziuns. Per motivs da la protecziun da datas na vegnan ils resultats betg publitgads.</v>
          </cell>
          <cell r="E47" t="str">
            <v>X : Estrapolazione basata su meno di 5 osservazioni. I risultati non sono pubblicati per ragioni legate alla protezione dei dati.</v>
          </cell>
        </row>
        <row r="48">
          <cell r="B48" t="str">
            <v>&lt;Legende_3&gt;</v>
          </cell>
          <cell r="C48" t="str">
            <v>Die Grundgesamtheit der Strukturerhebung enthält alle Personen der ständigen Wohnbevölkerung ab vollendetem 15. Altersjahr, die in Privathaushalten leben.</v>
          </cell>
          <cell r="D48" t="str">
            <v>La survista da basa da l'enquista da structura cumpiglia tut las persunas da la populaziun residenta permanenta a partir da 15 onns che vivan en chasadas privatas.</v>
          </cell>
          <cell r="E48" t="str">
            <v>L'universo di base della rilevazione strutturale comprende tutte le persone facenti parte della popolazione residente permanente di 15 anni e più che vivono in un'economia domestica.</v>
          </cell>
        </row>
        <row r="49">
          <cell r="B49" t="str">
            <v>&lt;Legende_4&gt;</v>
          </cell>
          <cell r="C49" t="str">
            <v>Aus der Grundgesamtheit ausgeschlossen wurden neben den Personen, die in Kollektivhaushalten leben, auch Diplomaten, internationale Funktionäre und deren Angehörige.</v>
          </cell>
          <cell r="D49" t="str">
            <v>Exclus da la totalitad fundamentala èn vegnids ultra da las persunas che vivan en chasadas collectivas er diplomats, funcziunaris internaziunals e lur confamigliars.</v>
          </cell>
          <cell r="E49" t="str">
            <v>Sono esclusi diplomatici, i funzionari internazionali ed i loro familiari e le persone che vivono in una collettività.</v>
          </cell>
        </row>
        <row r="50">
          <cell r="B50"/>
          <cell r="C50"/>
          <cell r="D50"/>
          <cell r="E50"/>
        </row>
        <row r="51">
          <cell r="B51" t="str">
            <v>&lt;Quelle_1&gt;</v>
          </cell>
          <cell r="C51" t="str">
            <v>Quelle: BFS (Strukturerhebung)</v>
          </cell>
          <cell r="D51" t="str">
            <v>Funtauna: UST (enquista da structura)</v>
          </cell>
          <cell r="E51" t="str">
            <v>Fonte: UST - Rilevazione strutturale (RS)</v>
          </cell>
        </row>
        <row r="52">
          <cell r="B52" t="str">
            <v>&lt;Aktualisierung&gt;</v>
          </cell>
          <cell r="C52" t="str">
            <v>Letztmals aktualisiert am: 26.01.2024</v>
          </cell>
          <cell r="D52" t="str">
            <v>Ultima actualisaziun: 26.01.2024</v>
          </cell>
          <cell r="E52" t="str">
            <v>Ulimo aggiornamento: 26.01.2024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zoomScaleNormal="100" workbookViewId="0"/>
  </sheetViews>
  <sheetFormatPr baseColWidth="10" defaultRowHeight="12.75" x14ac:dyDescent="0.2"/>
  <cols>
    <col min="1" max="1" width="18.375" style="6" customWidth="1"/>
    <col min="2" max="9" width="11.875" style="6" customWidth="1"/>
    <col min="10" max="16384" width="11" style="6"/>
  </cols>
  <sheetData>
    <row r="1" spans="1:11" s="1" customFormat="1" x14ac:dyDescent="0.2"/>
    <row r="2" spans="1:11" s="1" customFormat="1" ht="15.75" x14ac:dyDescent="0.25">
      <c r="B2" s="2"/>
      <c r="C2" s="12"/>
      <c r="D2" s="12"/>
      <c r="E2" s="12"/>
      <c r="F2" s="12"/>
    </row>
    <row r="3" spans="1:11" s="1" customFormat="1" ht="15.75" x14ac:dyDescent="0.25">
      <c r="B3" s="2"/>
      <c r="C3" s="12"/>
      <c r="D3" s="12"/>
      <c r="E3" s="12"/>
      <c r="F3" s="12"/>
    </row>
    <row r="4" spans="1:11" s="1" customFormat="1" ht="15.75" x14ac:dyDescent="0.25">
      <c r="B4" s="2"/>
      <c r="C4" s="12"/>
      <c r="D4" s="12"/>
      <c r="E4" s="12"/>
      <c r="F4" s="12"/>
    </row>
    <row r="5" spans="1:11" s="1" customFormat="1" x14ac:dyDescent="0.2"/>
    <row r="6" spans="1:11" s="1" customFormat="1" x14ac:dyDescent="0.2"/>
    <row r="7" spans="1:11" s="1" customFormat="1" ht="15.75" customHeight="1" x14ac:dyDescent="0.2">
      <c r="A7" s="65" t="str">
        <f>VLOOKUP("&lt;Fachbereich&gt;",Uebersetzungen!$B$3:$E$28,Uebersetzungen!$B$2+1,FALSE)</f>
        <v>Daten &amp; Statistik</v>
      </c>
      <c r="B7" s="65"/>
      <c r="C7" s="65"/>
      <c r="D7" s="65"/>
      <c r="E7" s="65"/>
      <c r="F7" s="65"/>
      <c r="G7" s="13"/>
      <c r="H7" s="13"/>
      <c r="I7" s="13"/>
      <c r="J7" s="13"/>
      <c r="K7" s="13"/>
    </row>
    <row r="8" spans="1:11" s="1" customFormat="1" x14ac:dyDescent="0.2"/>
    <row r="9" spans="1:11" ht="18" x14ac:dyDescent="0.2">
      <c r="A9" s="3" t="str">
        <f>VLOOKUP("&lt;Titel&gt;",Uebersetzungen!$B$3:$E$28,Uebersetzungen!$B$2+1,FALSE)</f>
        <v>Migrationsstatus nach Kanton</v>
      </c>
      <c r="B9" s="4"/>
      <c r="C9" s="5"/>
      <c r="D9" s="5"/>
      <c r="E9" s="5"/>
      <c r="F9" s="5"/>
      <c r="G9" s="5"/>
      <c r="H9" s="5"/>
      <c r="I9" s="5"/>
    </row>
    <row r="10" spans="1:11" x14ac:dyDescent="0.2">
      <c r="A10" s="7" t="str">
        <f>VLOOKUP("&lt;UTitel&gt;",Uebersetzungen!$B$3:$E$28,Uebersetzungen!$B$2+1,FALSE)</f>
        <v>Ständige schweizerische Wohnbevölkerung ab 15 Jahren</v>
      </c>
      <c r="B10" s="4"/>
      <c r="C10" s="5"/>
      <c r="D10" s="5"/>
      <c r="E10" s="5"/>
      <c r="F10" s="5"/>
      <c r="G10" s="5"/>
      <c r="H10" s="5"/>
      <c r="I10" s="5"/>
    </row>
    <row r="11" spans="1:11" ht="13.5" thickBot="1" x14ac:dyDescent="0.25">
      <c r="A11" s="7"/>
      <c r="B11" s="4"/>
      <c r="C11" s="5"/>
      <c r="D11" s="5"/>
      <c r="E11" s="5"/>
      <c r="F11" s="5"/>
      <c r="G11" s="5"/>
      <c r="H11" s="5"/>
      <c r="I11" s="5"/>
    </row>
    <row r="12" spans="1:11" ht="18.75" thickBot="1" x14ac:dyDescent="0.3">
      <c r="A12" s="8"/>
      <c r="B12" s="66">
        <v>2024</v>
      </c>
      <c r="C12" s="67"/>
      <c r="D12" s="67"/>
      <c r="E12" s="67"/>
      <c r="F12" s="67"/>
      <c r="G12" s="67"/>
      <c r="H12" s="67"/>
      <c r="I12" s="68"/>
    </row>
    <row r="13" spans="1:11" ht="37.5" customHeight="1" thickBot="1" x14ac:dyDescent="0.25">
      <c r="A13" s="60"/>
      <c r="B13" s="62" t="str">
        <f>VLOOKUP("&lt;SpaltenTitel_1&gt;",Uebersetzungen!$B$3:$E$325,Uebersetzungen!$B$2+1,FALSE)</f>
        <v>Total</v>
      </c>
      <c r="C13" s="63"/>
      <c r="D13" s="69" t="str">
        <f>VLOOKUP("&lt;SpaltenTitel_2&gt;",Uebersetzungen!$B$3:$E$325,Uebersetzungen!$B$2+1,FALSE)</f>
        <v>Personen ohne Migrationshintergrund</v>
      </c>
      <c r="E13" s="70"/>
      <c r="F13" s="63" t="str">
        <f>VLOOKUP("&lt;SpaltenTitel_3&gt;",Uebersetzungen!$B$3:$E$325,Uebersetzungen!$B$2+1,FALSE)</f>
        <v>Personen mit Migrationshintergrund</v>
      </c>
      <c r="G13" s="63"/>
      <c r="H13" s="63" t="str">
        <f>VLOOKUP("&lt;SpaltenTitel_4&gt;",Uebersetzungen!$B$3:$E$325,Uebersetzungen!$B$2+1,FALSE)</f>
        <v>Migrationshintergrund unbekannt</v>
      </c>
      <c r="I13" s="64"/>
    </row>
    <row r="14" spans="1:11" ht="39" thickBot="1" x14ac:dyDescent="0.25">
      <c r="A14" s="61"/>
      <c r="B14" s="84" t="str">
        <f>VLOOKUP("&lt;SpaltenTitel_1.1&gt;",Uebersetzungen!$B$3:$E$28,Uebersetzungen!$B$2+1,FALSE)</f>
        <v>Anzahl Personen</v>
      </c>
      <c r="C14" s="85" t="str">
        <f>VLOOKUP("&lt;SpaltenTitel_1.2&gt;",Uebersetzungen!$B$3:$E$28,Uebersetzungen!$B$2+1,FALSE)</f>
        <v>Vertrauens- intervall: ± (in %)</v>
      </c>
      <c r="D14" s="86" t="str">
        <f>VLOOKUP("&lt;SpaltenTitel_1.1&gt;",Uebersetzungen!$B$3:$E$28,Uebersetzungen!$B$2+1,FALSE)</f>
        <v>Anzahl Personen</v>
      </c>
      <c r="E14" s="85" t="str">
        <f>VLOOKUP("&lt;SpaltenTitel_1.2&gt;",Uebersetzungen!$B$3:$E$28,Uebersetzungen!$B$2+1,FALSE)</f>
        <v>Vertrauens- intervall: ± (in %)</v>
      </c>
      <c r="F14" s="86" t="str">
        <f>VLOOKUP("&lt;SpaltenTitel_1.1&gt;",Uebersetzungen!$B$3:$E$28,Uebersetzungen!$B$2+1,FALSE)</f>
        <v>Anzahl Personen</v>
      </c>
      <c r="G14" s="87" t="str">
        <f>VLOOKUP("&lt;SpaltenTitel_1.2&gt;",Uebersetzungen!$B$3:$E$28,Uebersetzungen!$B$2+1,FALSE)</f>
        <v>Vertrauens- intervall: ± (in %)</v>
      </c>
      <c r="H14" s="88" t="str">
        <f>VLOOKUP("&lt;SpaltenTitel_1.1&gt;",Uebersetzungen!$B$3:$E$28,Uebersetzungen!$B$2+1,FALSE)</f>
        <v>Anzahl Personen</v>
      </c>
      <c r="I14" s="89" t="str">
        <f>VLOOKUP("&lt;SpaltenTitel_1.2&gt;",Uebersetzungen!$B$3:$E$28,Uebersetzungen!$B$2+1,FALSE)</f>
        <v>Vertrauens- intervall: ± (in %)</v>
      </c>
    </row>
    <row r="15" spans="1:11" x14ac:dyDescent="0.2">
      <c r="A15" s="80" t="str">
        <f>VLOOKUP("&lt;Zeilentitel_1&gt;",Uebersetzungen!$B$3:$E$28,Uebersetzungen!$B$2+1,FALSE)</f>
        <v>Total</v>
      </c>
      <c r="B15" s="90">
        <v>7507509.0000000279</v>
      </c>
      <c r="C15" s="95">
        <v>5.6008377682885281E-2</v>
      </c>
      <c r="D15" s="96">
        <v>4292713.2742980346</v>
      </c>
      <c r="E15" s="91">
        <v>0.31648558762514939</v>
      </c>
      <c r="F15" s="96">
        <v>3171390.2921395912</v>
      </c>
      <c r="G15" s="95">
        <v>0.46924082107341286</v>
      </c>
      <c r="H15" s="96">
        <v>43405.4335624011</v>
      </c>
      <c r="I15" s="98">
        <v>5.1669495101757015</v>
      </c>
    </row>
    <row r="16" spans="1:11" x14ac:dyDescent="0.2">
      <c r="A16" s="81" t="str">
        <f>VLOOKUP("&lt;Zeilentitel_2&gt;",Uebersetzungen!$B$3:$E$28,Uebersetzungen!$B$2+1,FALSE)</f>
        <v>Zürich</v>
      </c>
      <c r="B16" s="92">
        <v>1347407.9999999984</v>
      </c>
      <c r="C16" s="46">
        <v>0.14609697640703928</v>
      </c>
      <c r="D16" s="58">
        <v>690825.62756831245</v>
      </c>
      <c r="E16" s="44">
        <v>0.96107980542038973</v>
      </c>
      <c r="F16" s="58">
        <v>647892.61315787863</v>
      </c>
      <c r="G16" s="46">
        <v>1.1053950131188754</v>
      </c>
      <c r="H16" s="58">
        <v>8689.7592738072926</v>
      </c>
      <c r="I16" s="49">
        <v>12.867604178933975</v>
      </c>
    </row>
    <row r="17" spans="1:9" x14ac:dyDescent="0.2">
      <c r="A17" s="81" t="str">
        <f>VLOOKUP("&lt;Zeilentitel_3&gt;",Uebersetzungen!$B$3:$E$28,Uebersetzungen!$B$2+1,FALSE)</f>
        <v>Bern</v>
      </c>
      <c r="B17" s="92">
        <v>895907.00000000943</v>
      </c>
      <c r="C17" s="46">
        <v>0.15512405708300431</v>
      </c>
      <c r="D17" s="58">
        <v>641102.79067264486</v>
      </c>
      <c r="E17" s="44">
        <v>0.73729609990196066</v>
      </c>
      <c r="F17" s="58">
        <v>249444.1465588705</v>
      </c>
      <c r="G17" s="46">
        <v>2.0918014497617237</v>
      </c>
      <c r="H17" s="58">
        <v>5360.0627684941137</v>
      </c>
      <c r="I17" s="49">
        <v>15.905387589697133</v>
      </c>
    </row>
    <row r="18" spans="1:9" x14ac:dyDescent="0.2">
      <c r="A18" s="81" t="str">
        <f>VLOOKUP("&lt;Zeilentitel_4&gt;",Uebersetzungen!$B$3:$E$28,Uebersetzungen!$B$2+1,FALSE)</f>
        <v>Luzern</v>
      </c>
      <c r="B18" s="92">
        <v>363523.00000000128</v>
      </c>
      <c r="C18" s="46">
        <v>0.19345630722242824</v>
      </c>
      <c r="D18" s="58">
        <v>243196.78925532388</v>
      </c>
      <c r="E18" s="44">
        <v>0.91906139158323552</v>
      </c>
      <c r="F18" s="58">
        <v>118641.429667201</v>
      </c>
      <c r="G18" s="46">
        <v>2.0964628803648573</v>
      </c>
      <c r="H18" s="58">
        <v>1684.7810774763677</v>
      </c>
      <c r="I18" s="49">
        <v>19.878666994146176</v>
      </c>
    </row>
    <row r="19" spans="1:9" x14ac:dyDescent="0.2">
      <c r="A19" s="81" t="str">
        <f>VLOOKUP("&lt;Zeilentitel_5&gt;",Uebersetzungen!$B$3:$E$28,Uebersetzungen!$B$2+1,FALSE)</f>
        <v>Uri</v>
      </c>
      <c r="B19" s="92">
        <v>31946.000000000317</v>
      </c>
      <c r="C19" s="46">
        <v>0.88503992777016482</v>
      </c>
      <c r="D19" s="58">
        <v>25476.279917044103</v>
      </c>
      <c r="E19" s="44">
        <v>3.1070421490785067</v>
      </c>
      <c r="F19" s="58">
        <v>6437.3901893104867</v>
      </c>
      <c r="G19" s="46">
        <v>14.014286521591988</v>
      </c>
      <c r="H19" s="58" t="s">
        <v>276</v>
      </c>
      <c r="I19" s="49" t="s">
        <v>276</v>
      </c>
    </row>
    <row r="20" spans="1:9" x14ac:dyDescent="0.2">
      <c r="A20" s="81" t="str">
        <f>VLOOKUP("&lt;Zeilentitel_6&gt;",Uebersetzungen!$B$3:$E$28,Uebersetzungen!$B$2+1,FALSE)</f>
        <v>Schwyz</v>
      </c>
      <c r="B20" s="92">
        <v>142109.00000000215</v>
      </c>
      <c r="C20" s="46">
        <v>0.38530191072091069</v>
      </c>
      <c r="D20" s="58">
        <v>94259.303831671074</v>
      </c>
      <c r="E20" s="44">
        <v>2.1850466640911002</v>
      </c>
      <c r="F20" s="58">
        <v>47299.559199958603</v>
      </c>
      <c r="G20" s="46">
        <v>4.4995532392140296</v>
      </c>
      <c r="H20" s="50">
        <v>550.13696837247983</v>
      </c>
      <c r="I20" s="51">
        <v>48.350982081446197</v>
      </c>
    </row>
    <row r="21" spans="1:9" x14ac:dyDescent="0.2">
      <c r="A21" s="81" t="str">
        <f>VLOOKUP("&lt;Zeilentitel_7&gt;",Uebersetzungen!$B$3:$E$28,Uebersetzungen!$B$2+1,FALSE)</f>
        <v>Obwalden</v>
      </c>
      <c r="B21" s="92">
        <v>33148.999999999571</v>
      </c>
      <c r="C21" s="46">
        <v>0.6457487799272007</v>
      </c>
      <c r="D21" s="58">
        <v>25416.982302928347</v>
      </c>
      <c r="E21" s="44">
        <v>3.6702063890648606</v>
      </c>
      <c r="F21" s="58">
        <v>7536.2567441351939</v>
      </c>
      <c r="G21" s="46">
        <v>11.900155367819995</v>
      </c>
      <c r="H21" s="50">
        <v>195.76095293602449</v>
      </c>
      <c r="I21" s="51">
        <v>86.791294258584003</v>
      </c>
    </row>
    <row r="22" spans="1:9" x14ac:dyDescent="0.2">
      <c r="A22" s="81" t="str">
        <f>VLOOKUP("&lt;Zeilentitel_8&gt;",Uebersetzungen!$B$3:$E$28,Uebersetzungen!$B$2+1,FALSE)</f>
        <v>Nidwalden</v>
      </c>
      <c r="B22" s="92">
        <v>38597.999999999862</v>
      </c>
      <c r="C22" s="46">
        <v>0.64669126821322542</v>
      </c>
      <c r="D22" s="58">
        <v>28574.886177191947</v>
      </c>
      <c r="E22" s="44">
        <v>3.2880893620284364</v>
      </c>
      <c r="F22" s="58">
        <v>9875.3066277727867</v>
      </c>
      <c r="G22" s="46">
        <v>10.445073794647183</v>
      </c>
      <c r="H22" s="58" t="s">
        <v>276</v>
      </c>
      <c r="I22" s="49" t="s">
        <v>276</v>
      </c>
    </row>
    <row r="23" spans="1:9" x14ac:dyDescent="0.2">
      <c r="A23" s="81" t="str">
        <f>VLOOKUP("&lt;Zeilentitel_9&gt;",Uebersetzungen!$B$3:$E$28,Uebersetzungen!$B$2+1,FALSE)</f>
        <v>Glarus</v>
      </c>
      <c r="B23" s="92">
        <v>35219.999999999534</v>
      </c>
      <c r="C23" s="46">
        <v>0.82822125379184908</v>
      </c>
      <c r="D23" s="58">
        <v>22265.646396681215</v>
      </c>
      <c r="E23" s="44">
        <v>4.8013987773985871</v>
      </c>
      <c r="F23" s="58">
        <v>12811.565936280953</v>
      </c>
      <c r="G23" s="46">
        <v>8.8439635416513411</v>
      </c>
      <c r="H23" s="58" t="s">
        <v>276</v>
      </c>
      <c r="I23" s="49" t="s">
        <v>276</v>
      </c>
    </row>
    <row r="24" spans="1:9" x14ac:dyDescent="0.2">
      <c r="A24" s="81" t="str">
        <f>VLOOKUP("&lt;Zeilentitel_10&gt;",Uebersetzungen!$B$3:$E$28,Uebersetzungen!$B$2+1,FALSE)</f>
        <v>Zug</v>
      </c>
      <c r="B24" s="92">
        <v>111082.99999999776</v>
      </c>
      <c r="C24" s="46">
        <v>0.30180082167526207</v>
      </c>
      <c r="D24" s="58">
        <v>61727.360747752726</v>
      </c>
      <c r="E24" s="44">
        <v>2.141192163548387</v>
      </c>
      <c r="F24" s="58">
        <v>48929.330271603729</v>
      </c>
      <c r="G24" s="46">
        <v>2.8216884780093929</v>
      </c>
      <c r="H24" s="50">
        <v>426.30898064129781</v>
      </c>
      <c r="I24" s="51">
        <v>38.959552553624974</v>
      </c>
    </row>
    <row r="25" spans="1:9" x14ac:dyDescent="0.2">
      <c r="A25" s="81" t="str">
        <f>VLOOKUP("&lt;Zeilentitel_11&gt;",Uebersetzungen!$B$3:$E$28,Uebersetzungen!$B$2+1,FALSE)</f>
        <v>Freiburg</v>
      </c>
      <c r="B25" s="92">
        <v>283762.99999999837</v>
      </c>
      <c r="C25" s="46">
        <v>0.32445426787497783</v>
      </c>
      <c r="D25" s="58">
        <v>184321.3927410242</v>
      </c>
      <c r="E25" s="44">
        <v>1.5281020417204765</v>
      </c>
      <c r="F25" s="58">
        <v>98302.34157176537</v>
      </c>
      <c r="G25" s="46">
        <v>3.2381462506957015</v>
      </c>
      <c r="H25" s="52">
        <v>1139.2656872088148</v>
      </c>
      <c r="I25" s="51">
        <v>34.656293799319485</v>
      </c>
    </row>
    <row r="26" spans="1:9" x14ac:dyDescent="0.2">
      <c r="A26" s="81" t="str">
        <f>VLOOKUP("&lt;Zeilentitel_12&gt;",Uebersetzungen!$B$3:$E$28,Uebersetzungen!$B$2+1,FALSE)</f>
        <v>Solothurn</v>
      </c>
      <c r="B26" s="92">
        <v>243244.00000000527</v>
      </c>
      <c r="C26" s="46">
        <v>0.37149545326775207</v>
      </c>
      <c r="D26" s="58">
        <v>155385.61623994101</v>
      </c>
      <c r="E26" s="44">
        <v>1.7236144589383922</v>
      </c>
      <c r="F26" s="58">
        <v>86054.995110758944</v>
      </c>
      <c r="G26" s="46">
        <v>3.4994455111681151</v>
      </c>
      <c r="H26" s="58">
        <v>1803.3886493053099</v>
      </c>
      <c r="I26" s="49">
        <v>27.196401507679894</v>
      </c>
    </row>
    <row r="27" spans="1:9" x14ac:dyDescent="0.2">
      <c r="A27" s="81" t="str">
        <f>VLOOKUP("&lt;Zeilentitel_13&gt;",Uebersetzungen!$B$3:$E$28,Uebersetzungen!$B$2+1,FALSE)</f>
        <v>Basel-Stadt</v>
      </c>
      <c r="B27" s="92">
        <v>168790.9999999986</v>
      </c>
      <c r="C27" s="46">
        <v>0.48378807353459485</v>
      </c>
      <c r="D27" s="58">
        <v>70344.562855440337</v>
      </c>
      <c r="E27" s="44">
        <v>3.3884180238005892</v>
      </c>
      <c r="F27" s="58">
        <v>97339.449027139592</v>
      </c>
      <c r="G27" s="46">
        <v>2.6602892083249596</v>
      </c>
      <c r="H27" s="52">
        <v>1106.9881174186719</v>
      </c>
      <c r="I27" s="51">
        <v>36.01123068334072</v>
      </c>
    </row>
    <row r="28" spans="1:9" x14ac:dyDescent="0.2">
      <c r="A28" s="81" t="str">
        <f>VLOOKUP("&lt;Zeilentitel_14&gt;",Uebersetzungen!$B$3:$E$28,Uebersetzungen!$B$2+1,FALSE)</f>
        <v>Basel-Landschaft</v>
      </c>
      <c r="B28" s="92">
        <v>253309.00000000329</v>
      </c>
      <c r="C28" s="46">
        <v>0.31598533704063286</v>
      </c>
      <c r="D28" s="58">
        <v>149443.68370117326</v>
      </c>
      <c r="E28" s="44">
        <v>1.8806444673750495</v>
      </c>
      <c r="F28" s="58">
        <v>102107.87649675603</v>
      </c>
      <c r="G28" s="46">
        <v>2.9576328013923692</v>
      </c>
      <c r="H28" s="52">
        <v>1757.43980207403</v>
      </c>
      <c r="I28" s="51">
        <v>27.701293689094083</v>
      </c>
    </row>
    <row r="29" spans="1:9" x14ac:dyDescent="0.2">
      <c r="A29" s="81" t="str">
        <f>VLOOKUP("&lt;Zeilentitel_15&gt;",Uebersetzungen!$B$3:$E$49,Uebersetzungen!$B$2+1,FALSE)</f>
        <v>Schaffhausen</v>
      </c>
      <c r="B29" s="92">
        <v>74427.999999999462</v>
      </c>
      <c r="C29" s="46">
        <v>0.63817975574598973</v>
      </c>
      <c r="D29" s="58">
        <v>40008.710528724674</v>
      </c>
      <c r="E29" s="44">
        <v>3.9661579751421017</v>
      </c>
      <c r="F29" s="58">
        <v>33708.656433576798</v>
      </c>
      <c r="G29" s="46">
        <v>5.0613169893683772</v>
      </c>
      <c r="H29" s="50">
        <v>710.63303769798949</v>
      </c>
      <c r="I29" s="51">
        <v>44.402946296751139</v>
      </c>
    </row>
    <row r="30" spans="1:9" ht="14.25" customHeight="1" x14ac:dyDescent="0.2">
      <c r="A30" s="81" t="str">
        <f>VLOOKUP("&lt;Zeilentitel_16&gt;",Uebersetzungen!$B$3:$E$49,Uebersetzungen!$B$2+1,FALSE)</f>
        <v>Appenzell Ausserrhoden</v>
      </c>
      <c r="B30" s="92">
        <v>46838.000000000357</v>
      </c>
      <c r="C30" s="46">
        <v>0.83967259033925312</v>
      </c>
      <c r="D30" s="58">
        <v>32856.553910806833</v>
      </c>
      <c r="E30" s="44">
        <v>3.5076582726643895</v>
      </c>
      <c r="F30" s="58">
        <v>13485.852236428325</v>
      </c>
      <c r="G30" s="46">
        <v>8.9955516701528655</v>
      </c>
      <c r="H30" s="50">
        <v>495.59385276519856</v>
      </c>
      <c r="I30" s="51">
        <v>53.900660875080412</v>
      </c>
    </row>
    <row r="31" spans="1:9" x14ac:dyDescent="0.2">
      <c r="A31" s="81" t="str">
        <f>VLOOKUP("&lt;Zeilentitel_17&gt;",Uebersetzungen!$B$3:$E$49,Uebersetzungen!$B$2+1,FALSE)</f>
        <v>Appenzell Innerrhoden</v>
      </c>
      <c r="B31" s="92">
        <v>13807.999999999929</v>
      </c>
      <c r="C31" s="46">
        <v>1.1928774840543177</v>
      </c>
      <c r="D31" s="58">
        <v>11165.713396484152</v>
      </c>
      <c r="E31" s="44">
        <v>4.9164321743306996</v>
      </c>
      <c r="F31" s="58">
        <v>2539.3899938912805</v>
      </c>
      <c r="G31" s="46">
        <v>21.375966736971865</v>
      </c>
      <c r="H31" s="58" t="s">
        <v>276</v>
      </c>
      <c r="I31" s="49" t="s">
        <v>276</v>
      </c>
    </row>
    <row r="32" spans="1:9" x14ac:dyDescent="0.2">
      <c r="A32" s="81" t="str">
        <f>VLOOKUP("&lt;Zeilentitel_18&gt;",Uebersetzungen!$B$3:$E$49,Uebersetzungen!$B$2+1,FALSE)</f>
        <v>St. Gallen</v>
      </c>
      <c r="B32" s="92">
        <v>448491.00000000687</v>
      </c>
      <c r="C32" s="46">
        <v>0.24694214519383573</v>
      </c>
      <c r="D32" s="58">
        <v>269157.24237566872</v>
      </c>
      <c r="E32" s="44">
        <v>1.3831290196246657</v>
      </c>
      <c r="F32" s="58">
        <v>177212.03473329073</v>
      </c>
      <c r="G32" s="46">
        <v>2.2916587161648687</v>
      </c>
      <c r="H32" s="58">
        <v>2121.72289104742</v>
      </c>
      <c r="I32" s="49">
        <v>25.232462802650065</v>
      </c>
    </row>
    <row r="33" spans="1:9" x14ac:dyDescent="0.2">
      <c r="A33" s="82" t="str">
        <f>VLOOKUP("&lt;Zeilentitel_19&gt;",Uebersetzungen!$B$3:$E$49,Uebersetzungen!$B$2+1,FALSE)</f>
        <v>Graubünden</v>
      </c>
      <c r="B33" s="94">
        <v>175976.99999999595</v>
      </c>
      <c r="C33" s="11">
        <v>0.39675788464810963</v>
      </c>
      <c r="D33" s="97">
        <v>122205.09496047602</v>
      </c>
      <c r="E33" s="54">
        <v>1.7485151682959694</v>
      </c>
      <c r="F33" s="97">
        <v>53257.210258852094</v>
      </c>
      <c r="G33" s="11">
        <v>4.5422374929364437</v>
      </c>
      <c r="H33" s="99">
        <v>514.69478066784814</v>
      </c>
      <c r="I33" s="55">
        <v>50.328158876178726</v>
      </c>
    </row>
    <row r="34" spans="1:9" x14ac:dyDescent="0.2">
      <c r="A34" s="81" t="str">
        <f>VLOOKUP("&lt;Zeilentitel_20&gt;",Uebersetzungen!$B$3:$E$49,Uebersetzungen!$B$2+1,FALSE)</f>
        <v>Aargau</v>
      </c>
      <c r="B34" s="92">
        <v>612778.00000000652</v>
      </c>
      <c r="C34" s="46">
        <v>0.15003038036050639</v>
      </c>
      <c r="D34" s="58">
        <v>347835.3392822232</v>
      </c>
      <c r="E34" s="44">
        <v>0.87875339791430451</v>
      </c>
      <c r="F34" s="58">
        <v>261214.15620951258</v>
      </c>
      <c r="G34" s="46">
        <v>1.2878435212013142</v>
      </c>
      <c r="H34" s="58">
        <v>3728.5045082707279</v>
      </c>
      <c r="I34" s="49">
        <v>13.17007287554477</v>
      </c>
    </row>
    <row r="35" spans="1:9" x14ac:dyDescent="0.2">
      <c r="A35" s="81" t="str">
        <f>VLOOKUP("&lt;Zeilentitel_21&gt;",Uebersetzungen!$B$3:$E$49,Uebersetzungen!$B$2+1,FALSE)</f>
        <v>Thurgau</v>
      </c>
      <c r="B35" s="92">
        <v>249376.00000000023</v>
      </c>
      <c r="C35" s="46">
        <v>0.35527943227892433</v>
      </c>
      <c r="D35" s="58">
        <v>146531.77683508475</v>
      </c>
      <c r="E35" s="44">
        <v>1.9092996034217218</v>
      </c>
      <c r="F35" s="58">
        <v>100995.01487832499</v>
      </c>
      <c r="G35" s="46">
        <v>3.0492103988243326</v>
      </c>
      <c r="H35" s="58">
        <v>1849.2082865904899</v>
      </c>
      <c r="I35" s="49">
        <v>27.411877600038935</v>
      </c>
    </row>
    <row r="36" spans="1:9" x14ac:dyDescent="0.2">
      <c r="A36" s="81" t="str">
        <f>VLOOKUP("&lt;Zeilentitel_22&gt;",Uebersetzungen!$B$3:$E$49,Uebersetzungen!$B$2+1,FALSE)</f>
        <v>Tessin</v>
      </c>
      <c r="B36" s="92">
        <v>308002.00000000157</v>
      </c>
      <c r="C36" s="46">
        <v>0.20641093920650738</v>
      </c>
      <c r="D36" s="58">
        <v>148379.79840206358</v>
      </c>
      <c r="E36" s="44">
        <v>1.5296378648414777</v>
      </c>
      <c r="F36" s="58">
        <v>158061.56371142747</v>
      </c>
      <c r="G36" s="46">
        <v>1.4947375862507348</v>
      </c>
      <c r="H36" s="58">
        <v>1560.6378865105225</v>
      </c>
      <c r="I36" s="49">
        <v>20.87851051057298</v>
      </c>
    </row>
    <row r="37" spans="1:9" x14ac:dyDescent="0.2">
      <c r="A37" s="81" t="str">
        <f>VLOOKUP("&lt;Zeilentitel_23&gt;",Uebersetzungen!$B$3:$E$49,Uebersetzungen!$B$2+1,FALSE)</f>
        <v>Waadt</v>
      </c>
      <c r="B37" s="92">
        <v>699661.99999999802</v>
      </c>
      <c r="C37" s="46">
        <v>0.15227178980420839</v>
      </c>
      <c r="D37" s="58">
        <v>324039.9253199969</v>
      </c>
      <c r="E37" s="44">
        <v>1.0213116943782157</v>
      </c>
      <c r="F37" s="58">
        <v>371976.81967636291</v>
      </c>
      <c r="G37" s="46">
        <v>0.98631344760406414</v>
      </c>
      <c r="H37" s="58">
        <v>3645.25500363826</v>
      </c>
      <c r="I37" s="49">
        <v>13.856221291085948</v>
      </c>
    </row>
    <row r="38" spans="1:9" x14ac:dyDescent="0.2">
      <c r="A38" s="81" t="str">
        <f>VLOOKUP("&lt;Zeilentitel_24&gt;",Uebersetzungen!$B$3:$E$49,Uebersetzungen!$B$2+1,FALSE)</f>
        <v>Wallis</v>
      </c>
      <c r="B38" s="92">
        <v>311880.99999999988</v>
      </c>
      <c r="C38" s="46">
        <v>0.33206874514856977</v>
      </c>
      <c r="D38" s="58">
        <v>196479.39977802389</v>
      </c>
      <c r="E38" s="44">
        <v>1.5367418362896406</v>
      </c>
      <c r="F38" s="58">
        <v>113582.64628535668</v>
      </c>
      <c r="G38" s="46">
        <v>3.0720329986943664</v>
      </c>
      <c r="H38" s="52">
        <v>1818.9539366193485</v>
      </c>
      <c r="I38" s="51">
        <v>28.428149216528446</v>
      </c>
    </row>
    <row r="39" spans="1:9" x14ac:dyDescent="0.2">
      <c r="A39" s="81" t="str">
        <f>VLOOKUP("&lt;Zeilentitel_25&gt;",Uebersetzungen!$B$3:$E$49,Uebersetzungen!$B$2+1,FALSE)</f>
        <v>Neuenburg</v>
      </c>
      <c r="B39" s="92">
        <v>150142.00000000125</v>
      </c>
      <c r="C39" s="46">
        <v>0.28056232088354072</v>
      </c>
      <c r="D39" s="58">
        <v>83321.700097461799</v>
      </c>
      <c r="E39" s="44">
        <v>1.8522087878857401</v>
      </c>
      <c r="F39" s="58">
        <v>65984.986185009533</v>
      </c>
      <c r="G39" s="46">
        <v>2.4941562080219462</v>
      </c>
      <c r="H39" s="50">
        <v>835.3137175299056</v>
      </c>
      <c r="I39" s="51">
        <v>28.977398471793599</v>
      </c>
    </row>
    <row r="40" spans="1:9" x14ac:dyDescent="0.2">
      <c r="A40" s="81" t="str">
        <f>VLOOKUP("&lt;Zeilentitel_26&gt;",Uebersetzungen!$B$3:$E$49,Uebersetzungen!$B$2+1,FALSE)</f>
        <v>Genf</v>
      </c>
      <c r="B40" s="92">
        <v>405611.00000000407</v>
      </c>
      <c r="C40" s="46">
        <v>0.25334185814379145</v>
      </c>
      <c r="D40" s="58">
        <v>132729.29485144329</v>
      </c>
      <c r="E40" s="44">
        <v>1.8477175721587997</v>
      </c>
      <c r="F40" s="58">
        <v>270427.76780705096</v>
      </c>
      <c r="G40" s="46">
        <v>1.0396187672442392</v>
      </c>
      <c r="H40" s="58">
        <v>2453.937341509838</v>
      </c>
      <c r="I40" s="49">
        <v>17.477964281610056</v>
      </c>
    </row>
    <row r="41" spans="1:9" ht="13.5" thickBot="1" x14ac:dyDescent="0.25">
      <c r="A41" s="83" t="str">
        <f>VLOOKUP("&lt;Zeilentitel_27&gt;",Uebersetzungen!$B$3:$E$49,Uebersetzungen!$B$2+1,FALSE)</f>
        <v>Jura</v>
      </c>
      <c r="B41" s="93">
        <v>62464.999999999549</v>
      </c>
      <c r="C41" s="47">
        <v>0.56737325987106879</v>
      </c>
      <c r="D41" s="48">
        <v>45661.802152447519</v>
      </c>
      <c r="E41" s="45">
        <v>2.7672804809581675</v>
      </c>
      <c r="F41" s="48">
        <v>16271.933171075587</v>
      </c>
      <c r="G41" s="47">
        <v>7.9492365106303691</v>
      </c>
      <c r="H41" s="100">
        <v>531.2646764764429</v>
      </c>
      <c r="I41" s="53">
        <v>49.916122648206539</v>
      </c>
    </row>
    <row r="43" spans="1:9" x14ac:dyDescent="0.2">
      <c r="A43" s="14" t="str">
        <f>VLOOKUP("&lt;Legende_1&gt;",Uebersetzungen!$B$3:$E$49,Uebersetzungen!$B$2+1,FALSE)</f>
        <v>(): Extrapolation aufgrund von 49 oder weniger Beobachtungen. Die Resultate sind mit grosser Vorsicht zu interpretieren.</v>
      </c>
    </row>
    <row r="44" spans="1:9" x14ac:dyDescent="0.2">
      <c r="A44" s="14" t="str">
        <f>VLOOKUP("&lt;Legende_2&gt;",Uebersetzungen!$B$3:$E$49,Uebersetzungen!$B$2+1,FALSE)</f>
        <v>X: Extrapolation aufgrund von 4 oder weniger Beobachtungen. Die Resultate werden aus Gründen des Datenschutzes nicht publiziert.</v>
      </c>
    </row>
    <row r="45" spans="1:9" x14ac:dyDescent="0.2">
      <c r="A45" s="14" t="str">
        <f>VLOOKUP("&lt;Legende_3&gt;",Uebersetzungen!$B$3:$E$49,Uebersetzungen!$B$2+1,FALSE)</f>
        <v>Die Grundgesamtheit der Strukturerhebung enthält alle Personen der ständigen Wohnbevölkerung ab vollendetem 15. Altersjahr, die in Privathaushalten leben.</v>
      </c>
    </row>
    <row r="46" spans="1:9" x14ac:dyDescent="0.2">
      <c r="A46" s="14" t="str">
        <f>VLOOKUP("&lt;Legende_4&gt;",Uebersetzungen!$B$3:$E$49,Uebersetzungen!$B$2+1,FALSE)</f>
        <v>Aus der Grundgesamtheit ausgeschlossen wurden neben den Personen, die in Kollektivhaushalten leben, auch Diplomaten, internationale Funktionäre und deren Angehörige.</v>
      </c>
    </row>
    <row r="47" spans="1:9" x14ac:dyDescent="0.2">
      <c r="A47" s="7"/>
    </row>
    <row r="48" spans="1:9" x14ac:dyDescent="0.2">
      <c r="A48" s="7" t="str">
        <f>VLOOKUP("&lt;Quelle_1&gt;",Uebersetzungen!$B$3:$E$49,Uebersetzungen!$B$2+1,FALSE)</f>
        <v>Quelle: BFS (Strukturerhebung)</v>
      </c>
    </row>
    <row r="49" spans="1:9" x14ac:dyDescent="0.2">
      <c r="A49" s="14" t="str">
        <f>VLOOKUP("&lt;Aktualisierung&gt;",Uebersetzungen!$B$3:$E$49,Uebersetzungen!$B$2+1,FALSE)</f>
        <v>Letztmals aktualisiert am: 29.01.2026</v>
      </c>
    </row>
    <row r="50" spans="1:9" x14ac:dyDescent="0.2">
      <c r="B50" s="9"/>
      <c r="H50" s="9"/>
    </row>
    <row r="52" spans="1:9" x14ac:dyDescent="0.2">
      <c r="B52" s="10"/>
      <c r="H52" s="10"/>
    </row>
    <row r="53" spans="1:9" x14ac:dyDescent="0.2">
      <c r="H53" s="9"/>
      <c r="I53" s="9"/>
    </row>
  </sheetData>
  <sheetProtection sheet="1" objects="1" scenarios="1"/>
  <mergeCells count="7">
    <mergeCell ref="A13:A14"/>
    <mergeCell ref="B13:C13"/>
    <mergeCell ref="F13:G13"/>
    <mergeCell ref="H13:I13"/>
    <mergeCell ref="A7:F7"/>
    <mergeCell ref="B12:I12"/>
    <mergeCell ref="D13:E13"/>
  </mergeCells>
  <pageMargins left="0.7" right="0.7" top="0.78740157499999996" bottom="0.78740157499999996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666750</xdr:colOff>
                    <xdr:row>1</xdr:row>
                    <xdr:rowOff>114300</xdr:rowOff>
                  </from>
                  <to>
                    <xdr:col>7</xdr:col>
                    <xdr:colOff>19050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666750</xdr:colOff>
                    <xdr:row>2</xdr:row>
                    <xdr:rowOff>104775</xdr:rowOff>
                  </from>
                  <to>
                    <xdr:col>7</xdr:col>
                    <xdr:colOff>409575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666750</xdr:colOff>
                    <xdr:row>3</xdr:row>
                    <xdr:rowOff>66675</xdr:rowOff>
                  </from>
                  <to>
                    <xdr:col>7</xdr:col>
                    <xdr:colOff>19050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showGridLines="0" zoomScaleNormal="100" workbookViewId="0"/>
  </sheetViews>
  <sheetFormatPr baseColWidth="10" defaultRowHeight="12.75" x14ac:dyDescent="0.2"/>
  <cols>
    <col min="1" max="1" width="29.75" style="6" customWidth="1"/>
    <col min="2" max="2" width="26.75" style="6" customWidth="1"/>
    <col min="3" max="10" width="9.5" style="6" customWidth="1"/>
    <col min="11" max="16384" width="11" style="6"/>
  </cols>
  <sheetData>
    <row r="1" spans="1:11" s="1" customFormat="1" x14ac:dyDescent="0.2"/>
    <row r="2" spans="1:11" s="1" customFormat="1" ht="15.75" x14ac:dyDescent="0.25">
      <c r="B2" s="2"/>
      <c r="C2" s="12"/>
      <c r="D2" s="12"/>
      <c r="E2" s="12"/>
      <c r="F2" s="12"/>
    </row>
    <row r="3" spans="1:11" s="1" customFormat="1" ht="15.75" x14ac:dyDescent="0.25">
      <c r="B3" s="2"/>
      <c r="C3" s="12"/>
      <c r="D3" s="12"/>
      <c r="E3" s="12"/>
      <c r="F3" s="12"/>
    </row>
    <row r="4" spans="1:11" s="1" customFormat="1" ht="15.75" x14ac:dyDescent="0.25">
      <c r="B4" s="2"/>
      <c r="C4" s="12"/>
      <c r="D4" s="12"/>
      <c r="E4" s="12"/>
      <c r="F4" s="12"/>
    </row>
    <row r="5" spans="1:11" s="1" customFormat="1" x14ac:dyDescent="0.2"/>
    <row r="6" spans="1:11" s="1" customFormat="1" x14ac:dyDescent="0.2"/>
    <row r="7" spans="1:11" s="1" customFormat="1" ht="15.75" customHeight="1" x14ac:dyDescent="0.2">
      <c r="A7" s="65" t="str">
        <f>VLOOKUP("&lt;Fachbereich&gt;",Uebersetzungen!$B$3:$E$28,Uebersetzungen!$B$2+1,FALSE)</f>
        <v>Daten &amp; Statistik</v>
      </c>
      <c r="B7" s="65"/>
      <c r="C7" s="65"/>
      <c r="D7" s="65"/>
      <c r="E7" s="37"/>
      <c r="F7" s="37"/>
      <c r="G7" s="13"/>
      <c r="H7" s="13"/>
      <c r="I7" s="13"/>
      <c r="J7" s="13"/>
      <c r="K7" s="13"/>
    </row>
    <row r="8" spans="1:11" s="1" customFormat="1" x14ac:dyDescent="0.2"/>
    <row r="9" spans="1:11" ht="18" x14ac:dyDescent="0.2">
      <c r="A9" s="3" t="str">
        <f>VLOOKUP("&lt;T2Titel&gt;",Uebersetzungen!$B$3:$E$100,Uebersetzungen!$B$2+1,FALSE)</f>
        <v>Migrationsstatus Kanton Graubünden</v>
      </c>
      <c r="B9" s="4"/>
      <c r="C9" s="5"/>
      <c r="D9" s="5"/>
      <c r="E9" s="5"/>
      <c r="F9" s="5"/>
      <c r="G9" s="5"/>
      <c r="H9" s="5"/>
      <c r="I9" s="5"/>
      <c r="J9" s="5"/>
    </row>
    <row r="10" spans="1:11" x14ac:dyDescent="0.2">
      <c r="A10" s="7" t="str">
        <f>VLOOKUP("&lt;T2UTitel&gt;",Uebersetzungen!$B$3:$E$100,Uebersetzungen!$B$2+1,FALSE)</f>
        <v>Ständige schweizerische Wohnbevölkerung ab 15 Jahren</v>
      </c>
      <c r="B10" s="4"/>
      <c r="C10" s="5"/>
      <c r="D10" s="5"/>
      <c r="E10" s="5"/>
      <c r="F10" s="5"/>
      <c r="G10" s="5"/>
      <c r="H10" s="5"/>
      <c r="I10" s="5"/>
      <c r="J10" s="5"/>
    </row>
    <row r="11" spans="1:11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</row>
    <row r="12" spans="1:11" ht="18" x14ac:dyDescent="0.25">
      <c r="A12" s="8"/>
      <c r="B12" s="8"/>
      <c r="C12" s="76">
        <v>2024</v>
      </c>
      <c r="D12" s="77"/>
      <c r="E12" s="77"/>
      <c r="F12" s="77"/>
      <c r="G12" s="77"/>
      <c r="H12" s="77"/>
      <c r="I12" s="77"/>
      <c r="J12" s="78"/>
    </row>
    <row r="13" spans="1:11" ht="37.5" customHeight="1" x14ac:dyDescent="0.2">
      <c r="B13" s="71"/>
      <c r="C13" s="73" t="str">
        <f>VLOOKUP("&lt;SpaltenTitel_1&gt;",Uebersetzungen!$B$3:$E$28,Uebersetzungen!$B$2+1,FALSE)</f>
        <v>Total</v>
      </c>
      <c r="D13" s="74"/>
      <c r="E13" s="74" t="str">
        <f>VLOOKUP("&lt;SpaltenTitel_2&gt;",Uebersetzungen!$B$3:$E$28,Uebersetzungen!$B$2+1,FALSE)</f>
        <v>Personen ohne Migrationshintergrund</v>
      </c>
      <c r="F13" s="74"/>
      <c r="G13" s="74" t="str">
        <f>VLOOKUP("&lt;SpaltenTitel_3&gt;",Uebersetzungen!$B$3:$E$28,Uebersetzungen!$B$2+1,FALSE)</f>
        <v>Personen mit Migrationshintergrund</v>
      </c>
      <c r="H13" s="74"/>
      <c r="I13" s="74" t="str">
        <f>VLOOKUP("&lt;SpaltenTitel_4&gt;",Uebersetzungen!$B$3:$E$28,Uebersetzungen!$B$2+1,FALSE)</f>
        <v>Migrationshintergrund unbekannt</v>
      </c>
      <c r="J13" s="75"/>
    </row>
    <row r="14" spans="1:11" ht="39" thickBot="1" x14ac:dyDescent="0.25">
      <c r="B14" s="72"/>
      <c r="C14" s="101" t="str">
        <f>VLOOKUP("&lt;SpaltenTitel_1.1&gt;",Uebersetzungen!$B$3:$E$28,Uebersetzungen!$B$2+1,FALSE)</f>
        <v>Anzahl Personen</v>
      </c>
      <c r="D14" s="102" t="str">
        <f>VLOOKUP("&lt;SpaltenTitel_1.2&gt;",Uebersetzungen!$B$3:$E$28,Uebersetzungen!$B$2+1,FALSE)</f>
        <v>Vertrauens- intervall: ± (in %)</v>
      </c>
      <c r="E14" s="103" t="str">
        <f>VLOOKUP("&lt;SpaltenTitel_1.1&gt;",Uebersetzungen!$B$3:$E$28,Uebersetzungen!$B$2+1,FALSE)</f>
        <v>Anzahl Personen</v>
      </c>
      <c r="F14" s="102" t="str">
        <f>VLOOKUP("&lt;SpaltenTitel_1.2&gt;",Uebersetzungen!$B$3:$E$28,Uebersetzungen!$B$2+1,FALSE)</f>
        <v>Vertrauens- intervall: ± (in %)</v>
      </c>
      <c r="G14" s="104" t="str">
        <f>VLOOKUP("&lt;SpaltenTitel_1.1&gt;",Uebersetzungen!$B$3:$E$28,Uebersetzungen!$B$2+1,FALSE)</f>
        <v>Anzahl Personen</v>
      </c>
      <c r="H14" s="102" t="str">
        <f>VLOOKUP("&lt;SpaltenTitel_1.2&gt;",Uebersetzungen!$B$3:$E$28,Uebersetzungen!$B$2+1,FALSE)</f>
        <v>Vertrauens- intervall: ± (in %)</v>
      </c>
      <c r="I14" s="105" t="str">
        <f>VLOOKUP("&lt;SpaltenTitel_1.1&gt;",Uebersetzungen!$B$3:$E$28,Uebersetzungen!$B$2+1,FALSE)</f>
        <v>Anzahl Personen</v>
      </c>
      <c r="J14" s="106" t="str">
        <f>VLOOKUP("&lt;SpaltenTitel_1.2&gt;",Uebersetzungen!$B$3:$E$28,Uebersetzungen!$B$2+1,FALSE)</f>
        <v>Vertrauens- intervall: ± (in %)</v>
      </c>
    </row>
    <row r="15" spans="1:11" ht="14.25" customHeight="1" x14ac:dyDescent="0.2">
      <c r="A15" s="30" t="str">
        <f>VLOOKUP("&lt;T2Zeilentitel_1&gt;",Uebersetzungen!$B$3:$E$92,Uebersetzungen!$B$2+1,FALSE)</f>
        <v>Total</v>
      </c>
      <c r="B15" s="39"/>
      <c r="C15" s="90">
        <v>175976.99999999549</v>
      </c>
      <c r="D15" s="95">
        <v>0.39675788464816031</v>
      </c>
      <c r="E15" s="96">
        <v>122205.09496047546</v>
      </c>
      <c r="F15" s="91">
        <v>1.7485151682960014</v>
      </c>
      <c r="G15" s="96">
        <v>53257.210258852167</v>
      </c>
      <c r="H15" s="95">
        <v>4.5422374929364375</v>
      </c>
      <c r="I15" s="108">
        <v>514.69478066784825</v>
      </c>
      <c r="J15" s="109">
        <v>50.328158876178698</v>
      </c>
    </row>
    <row r="16" spans="1:11" x14ac:dyDescent="0.2">
      <c r="A16" s="31" t="str">
        <f>VLOOKUP("&lt;T2Zeilentitel_2&gt;",Uebersetzungen!$B$3:$E$92,Uebersetzungen!$B$2+1,FALSE)</f>
        <v>Geschlecht</v>
      </c>
      <c r="B16" s="40" t="str">
        <f>VLOOKUP("&lt;T2Zeilentitel_2.1&gt;",Uebersetzungen!$B$3:$E$92,Uebersetzungen!$B$2+1,FALSE)</f>
        <v>Männer</v>
      </c>
      <c r="C16" s="110">
        <v>88469.999999997061</v>
      </c>
      <c r="D16" s="111">
        <v>2.8767215425128185</v>
      </c>
      <c r="E16" s="112">
        <v>60654.295133192172</v>
      </c>
      <c r="F16" s="113">
        <v>3.7516239148536803</v>
      </c>
      <c r="G16" s="112">
        <v>27496.622783644452</v>
      </c>
      <c r="H16" s="111">
        <v>7.1138020871259577</v>
      </c>
      <c r="I16" s="114">
        <v>319.08208316042931</v>
      </c>
      <c r="J16" s="115">
        <v>64.591144886523594</v>
      </c>
    </row>
    <row r="17" spans="1:10" x14ac:dyDescent="0.2">
      <c r="A17" s="32"/>
      <c r="B17" s="41" t="str">
        <f>VLOOKUP("&lt;T2Zeilentitel_2.2&gt;",Uebersetzungen!$B$3:$E$92,Uebersetzungen!$B$2+1,FALSE)</f>
        <v>Frauen</v>
      </c>
      <c r="C17" s="116">
        <v>87506.999999998414</v>
      </c>
      <c r="D17" s="117">
        <v>2.7377556760568358</v>
      </c>
      <c r="E17" s="118">
        <v>61550.799827283292</v>
      </c>
      <c r="F17" s="79">
        <v>3.648841037373399</v>
      </c>
      <c r="G17" s="118">
        <v>25760.587475207711</v>
      </c>
      <c r="H17" s="117">
        <v>6.8335820214531608</v>
      </c>
      <c r="I17" s="119">
        <v>195.61269750741891</v>
      </c>
      <c r="J17" s="120">
        <v>80.372444595616173</v>
      </c>
    </row>
    <row r="18" spans="1:10" x14ac:dyDescent="0.2">
      <c r="A18" s="33" t="str">
        <f>VLOOKUP("&lt;T2Zeilentitel_3&gt;",Uebersetzungen!$B$3:$E$92,Uebersetzungen!$B$2+1,FALSE)</f>
        <v>Alter</v>
      </c>
      <c r="B18" s="26" t="str">
        <f>VLOOKUP("&lt;T2Zeilentitel_3.1&gt;",Uebersetzungen!$B$3:$E$92,Uebersetzungen!$B$2+1,FALSE)</f>
        <v>15-24</v>
      </c>
      <c r="C18" s="92">
        <v>18707.99999999948</v>
      </c>
      <c r="D18" s="46">
        <v>8.3015949454829414</v>
      </c>
      <c r="E18" s="58">
        <v>13861.183436386758</v>
      </c>
      <c r="F18" s="44">
        <v>9.3456294373563953</v>
      </c>
      <c r="G18" s="58">
        <v>4766.8956871009423</v>
      </c>
      <c r="H18" s="46">
        <v>19.046529846838595</v>
      </c>
      <c r="I18" s="58" t="s">
        <v>276</v>
      </c>
      <c r="J18" s="49" t="s">
        <v>276</v>
      </c>
    </row>
    <row r="19" spans="1:10" x14ac:dyDescent="0.2">
      <c r="A19" s="34"/>
      <c r="B19" s="42">
        <f>VLOOKUP("&lt;T2Zeilentitel_3.2&gt;",Uebersetzungen!$B$3:$E$92,Uebersetzungen!$B$2+1,FALSE)</f>
        <v>25.44</v>
      </c>
      <c r="C19" s="92">
        <v>51762.999999998639</v>
      </c>
      <c r="D19" s="46">
        <v>4.5313758844237215</v>
      </c>
      <c r="E19" s="58">
        <v>32551.717840582023</v>
      </c>
      <c r="F19" s="44">
        <v>5.8719092464333968</v>
      </c>
      <c r="G19" s="58">
        <v>19037.351471600352</v>
      </c>
      <c r="H19" s="46">
        <v>8.7552381837087356</v>
      </c>
      <c r="I19" s="50">
        <v>173.9306878162709</v>
      </c>
      <c r="J19" s="51">
        <v>86.469004978488627</v>
      </c>
    </row>
    <row r="20" spans="1:10" x14ac:dyDescent="0.2">
      <c r="A20" s="35"/>
      <c r="B20" s="42" t="str">
        <f>VLOOKUP("&lt;T2Zeilentitel_3.3&gt;",Uebersetzungen!$B$3:$E$92,Uebersetzungen!$B$2+1,FALSE)</f>
        <v>15-64</v>
      </c>
      <c r="C20" s="92">
        <v>59050.999999998581</v>
      </c>
      <c r="D20" s="46">
        <v>3.8862069883361219</v>
      </c>
      <c r="E20" s="58">
        <v>38606.459196618242</v>
      </c>
      <c r="F20" s="44">
        <v>5.0728149133375062</v>
      </c>
      <c r="G20" s="58">
        <v>20217.479353363353</v>
      </c>
      <c r="H20" s="46">
        <v>7.9835126658025573</v>
      </c>
      <c r="I20" s="50">
        <v>227.06145001698258</v>
      </c>
      <c r="J20" s="51">
        <v>74.245398200391335</v>
      </c>
    </row>
    <row r="21" spans="1:10" x14ac:dyDescent="0.2">
      <c r="A21" s="35"/>
      <c r="B21" s="42" t="str">
        <f>VLOOKUP("&lt;T2Zeilentitel_3.4&gt;",Uebersetzungen!$B$3:$E$92,Uebersetzungen!$B$2+1,FALSE)</f>
        <v>65 und älter</v>
      </c>
      <c r="C21" s="92">
        <v>46454.999999998814</v>
      </c>
      <c r="D21" s="46">
        <v>4.4091517919039473</v>
      </c>
      <c r="E21" s="58">
        <v>37185.734486888548</v>
      </c>
      <c r="F21" s="44">
        <v>5.0931824764492086</v>
      </c>
      <c r="G21" s="58">
        <v>9235.4837467874568</v>
      </c>
      <c r="H21" s="46">
        <v>11.494046813136469</v>
      </c>
      <c r="I21" s="58" t="s">
        <v>276</v>
      </c>
      <c r="J21" s="49" t="s">
        <v>276</v>
      </c>
    </row>
    <row r="22" spans="1:10" x14ac:dyDescent="0.2">
      <c r="A22" s="31" t="str">
        <f>VLOOKUP("&lt;T2Zeilentitel_4&gt;",Uebersetzungen!$B$3:$E$92,Uebersetzungen!$B$2+1,FALSE)</f>
        <v>Staatsangehörigkeit</v>
      </c>
      <c r="B22" s="40" t="str">
        <f>VLOOKUP("&lt;T2Zeilentitel_4.1&gt;",Uebersetzungen!$B$3:$E$92,Uebersetzungen!$B$2+1,FALSE)</f>
        <v>Schweiz</v>
      </c>
      <c r="C22" s="110">
        <v>139479.99999999581</v>
      </c>
      <c r="D22" s="111">
        <v>1.3160876423395873</v>
      </c>
      <c r="E22" s="112">
        <v>122172.64107475645</v>
      </c>
      <c r="F22" s="113">
        <v>1.7493769218530069</v>
      </c>
      <c r="G22" s="112">
        <v>16792.664144571507</v>
      </c>
      <c r="H22" s="111">
        <v>8.3186880237247642</v>
      </c>
      <c r="I22" s="114">
        <v>514.69478066784814</v>
      </c>
      <c r="J22" s="115">
        <v>50.328158876178726</v>
      </c>
    </row>
    <row r="23" spans="1:10" x14ac:dyDescent="0.2">
      <c r="A23" s="32"/>
      <c r="B23" s="42" t="str">
        <f>VLOOKUP("&lt;T2Zeilentitel_4.2&gt;",Uebersetzungen!$B$3:$E$92,Uebersetzungen!$B$2+1,FALSE)</f>
        <v>Ausland</v>
      </c>
      <c r="C23" s="116">
        <v>36497.000000000182</v>
      </c>
      <c r="D23" s="117">
        <v>6.0218816632262451</v>
      </c>
      <c r="E23" s="118" t="s">
        <v>276</v>
      </c>
      <c r="F23" s="79" t="s">
        <v>276</v>
      </c>
      <c r="G23" s="118">
        <v>36464.546114280602</v>
      </c>
      <c r="H23" s="117">
        <v>6.0259060766518839</v>
      </c>
      <c r="I23" s="118" t="s">
        <v>276</v>
      </c>
      <c r="J23" s="121" t="s">
        <v>276</v>
      </c>
    </row>
    <row r="24" spans="1:10" x14ac:dyDescent="0.2">
      <c r="A24" s="33" t="str">
        <f>VLOOKUP("&lt;T2Zeilentitel_5&gt;",Uebersetzungen!$B$3:$E$92,Uebersetzungen!$B$2+1,FALSE)</f>
        <v>Arbeitsmarktstatus</v>
      </c>
      <c r="B24" s="40" t="str">
        <f>VLOOKUP("&lt;T2Zeilentitel_5.1&gt;",Uebersetzungen!$B$3:$E$92,Uebersetzungen!$B$2+1,FALSE)</f>
        <v>Erwerbstätige</v>
      </c>
      <c r="C24" s="92">
        <v>110190.32702338912</v>
      </c>
      <c r="D24" s="46">
        <v>2.2402588065625393</v>
      </c>
      <c r="E24" s="58">
        <v>73443.81572958114</v>
      </c>
      <c r="F24" s="44">
        <v>3.2167716354785805</v>
      </c>
      <c r="G24" s="58">
        <v>36454.746976666414</v>
      </c>
      <c r="H24" s="46">
        <v>5.8687345710599459</v>
      </c>
      <c r="I24" s="50">
        <v>291.76431714156757</v>
      </c>
      <c r="J24" s="51">
        <v>68.577492935730049</v>
      </c>
    </row>
    <row r="25" spans="1:10" x14ac:dyDescent="0.2">
      <c r="A25" s="33"/>
      <c r="B25" s="42" t="str">
        <f>VLOOKUP("&lt;T2Zeilentitel_5.2&gt;",Uebersetzungen!$B$3:$E$92,Uebersetzungen!$B$2+1,FALSE)</f>
        <v>Erwerbslose</v>
      </c>
      <c r="C25" s="92">
        <v>2284.4069618137946</v>
      </c>
      <c r="D25" s="46">
        <v>25.177421180026474</v>
      </c>
      <c r="E25" s="52">
        <v>1043.9255638294721</v>
      </c>
      <c r="F25" s="56">
        <v>36.847314505914447</v>
      </c>
      <c r="G25" s="52">
        <v>1220.7218024161414</v>
      </c>
      <c r="H25" s="57">
        <v>35.080115122399832</v>
      </c>
      <c r="I25" s="58" t="s">
        <v>276</v>
      </c>
      <c r="J25" s="49" t="s">
        <v>276</v>
      </c>
    </row>
    <row r="26" spans="1:10" x14ac:dyDescent="0.2">
      <c r="A26" s="32"/>
      <c r="B26" s="42" t="str">
        <f>VLOOKUP("&lt;T2Zeilentitel_5.3&gt;",Uebersetzungen!$B$3:$E$92,Uebersetzungen!$B$2+1,FALSE)</f>
        <v>Nichterwerbspersonen</v>
      </c>
      <c r="C26" s="92">
        <v>63502.266014792731</v>
      </c>
      <c r="D26" s="46">
        <v>3.6135246280747246</v>
      </c>
      <c r="E26" s="58">
        <v>47717.353667065021</v>
      </c>
      <c r="F26" s="44">
        <v>4.3646295432388005</v>
      </c>
      <c r="G26" s="58">
        <v>15581.741479769609</v>
      </c>
      <c r="H26" s="46">
        <v>9.1847684568095129</v>
      </c>
      <c r="I26" s="50">
        <v>203.17086795809959</v>
      </c>
      <c r="J26" s="51">
        <v>78.924693101104538</v>
      </c>
    </row>
    <row r="27" spans="1:10" x14ac:dyDescent="0.2">
      <c r="A27" s="33" t="str">
        <f>VLOOKUP("&lt;T2Zeilentitel_7&gt;",Uebersetzungen!$B$3:$E$92,Uebersetzungen!$B$2+1,FALSE)</f>
        <v>Sozioprofessionelle Kategorien</v>
      </c>
      <c r="B27" s="40" t="str">
        <f>VLOOKUP("&lt;T2Zeilentitel_7.1&gt;",Uebersetzungen!$B$3:$E$92,Uebersetzungen!$B$2+1,FALSE)</f>
        <v>Oberstes Management</v>
      </c>
      <c r="C27" s="110">
        <v>2591.8218815840164</v>
      </c>
      <c r="D27" s="111">
        <v>22.096779166267041</v>
      </c>
      <c r="E27" s="112">
        <v>1775.3425298036093</v>
      </c>
      <c r="F27" s="113">
        <v>26.490407660058338</v>
      </c>
      <c r="G27" s="114">
        <v>816.47935178040723</v>
      </c>
      <c r="H27" s="122">
        <v>40.438597482540594</v>
      </c>
      <c r="I27" s="112" t="s">
        <v>276</v>
      </c>
      <c r="J27" s="123" t="s">
        <v>276</v>
      </c>
    </row>
    <row r="28" spans="1:10" x14ac:dyDescent="0.2">
      <c r="A28" s="34"/>
      <c r="B28" s="42" t="str">
        <f>VLOOKUP("&lt;T2Zeilentitel_7.2&gt;",Uebersetzungen!$B$3:$E$92,Uebersetzungen!$B$2+1,FALSE)</f>
        <v>Freie und gleichgestellte Berufe</v>
      </c>
      <c r="C28" s="92">
        <v>2772.6059416691342</v>
      </c>
      <c r="D28" s="46">
        <v>21.257825256075527</v>
      </c>
      <c r="E28" s="58">
        <v>1842.2504222975972</v>
      </c>
      <c r="F28" s="44">
        <v>25.993211357958266</v>
      </c>
      <c r="G28" s="50">
        <v>930.35551937153684</v>
      </c>
      <c r="H28" s="57">
        <v>37.339072460611575</v>
      </c>
      <c r="I28" s="58" t="s">
        <v>276</v>
      </c>
      <c r="J28" s="49" t="s">
        <v>276</v>
      </c>
    </row>
    <row r="29" spans="1:10" x14ac:dyDescent="0.2">
      <c r="A29" s="35"/>
      <c r="B29" s="42" t="str">
        <f>VLOOKUP("&lt;T2Zeilentitel_7.3&gt;",Uebersetzungen!$B$3:$E$92,Uebersetzungen!$B$2+1,FALSE)</f>
        <v>Andere Selbstständige</v>
      </c>
      <c r="C29" s="92">
        <v>13585.627488911177</v>
      </c>
      <c r="D29" s="46">
        <v>9.6193425282333909</v>
      </c>
      <c r="E29" s="58">
        <v>10333.376498429878</v>
      </c>
      <c r="F29" s="44">
        <v>10.974119975329371</v>
      </c>
      <c r="G29" s="58">
        <v>3177.3361887227802</v>
      </c>
      <c r="H29" s="46">
        <v>21.406268031089123</v>
      </c>
      <c r="I29" s="58" t="s">
        <v>276</v>
      </c>
      <c r="J29" s="49" t="s">
        <v>276</v>
      </c>
    </row>
    <row r="30" spans="1:10" ht="25.5" x14ac:dyDescent="0.2">
      <c r="A30" s="35"/>
      <c r="B30" s="42" t="str">
        <f>VLOOKUP("&lt;T2Zeilentitel_7.4&gt;",Uebersetzungen!$B$3:$E$92,Uebersetzungen!$B$2+1,FALSE)</f>
        <v>Akademische Berufe und oberes Kader</v>
      </c>
      <c r="C30" s="92">
        <v>16516.630569380326</v>
      </c>
      <c r="D30" s="46">
        <v>8.5095799786306667</v>
      </c>
      <c r="E30" s="58">
        <v>11326.782228536691</v>
      </c>
      <c r="F30" s="44">
        <v>10.276934374843481</v>
      </c>
      <c r="G30" s="58">
        <v>5117.7955774811217</v>
      </c>
      <c r="H30" s="46">
        <v>16.351427461110219</v>
      </c>
      <c r="I30" s="58" t="s">
        <v>276</v>
      </c>
      <c r="J30" s="49" t="s">
        <v>276</v>
      </c>
    </row>
    <row r="31" spans="1:10" x14ac:dyDescent="0.2">
      <c r="A31" s="35"/>
      <c r="B31" s="42" t="str">
        <f>VLOOKUP("&lt;T2Zeilentitel_7.5&gt;",Uebersetzungen!$B$3:$E$92,Uebersetzungen!$B$2+1,FALSE)</f>
        <v>Intermediäre Berufe</v>
      </c>
      <c r="C31" s="92">
        <v>31500.38960270978</v>
      </c>
      <c r="D31" s="46">
        <v>6.0706703697586635</v>
      </c>
      <c r="E31" s="58">
        <v>21122.280565896835</v>
      </c>
      <c r="F31" s="44">
        <v>7.4030723936049263</v>
      </c>
      <c r="G31" s="58">
        <v>10378.109036812946</v>
      </c>
      <c r="H31" s="46">
        <v>11.972286356755024</v>
      </c>
      <c r="I31" s="58" t="s">
        <v>276</v>
      </c>
      <c r="J31" s="49" t="s">
        <v>276</v>
      </c>
    </row>
    <row r="32" spans="1:10" x14ac:dyDescent="0.2">
      <c r="A32" s="35"/>
      <c r="B32" s="42" t="str">
        <f>VLOOKUP("&lt;T2Zeilentitel_7.6&gt;",Uebersetzungen!$B$3:$E$92,Uebersetzungen!$B$2+1,FALSE)</f>
        <v>Qualifizierte nichtmanuelle Berufe</v>
      </c>
      <c r="C32" s="92">
        <v>23605.686619492513</v>
      </c>
      <c r="D32" s="46">
        <v>7.08211371631264</v>
      </c>
      <c r="E32" s="58">
        <v>16785.512146492485</v>
      </c>
      <c r="F32" s="44">
        <v>8.417024937850881</v>
      </c>
      <c r="G32" s="58">
        <v>6748.6477168201409</v>
      </c>
      <c r="H32" s="46">
        <v>14.543661731468937</v>
      </c>
      <c r="I32" s="58" t="s">
        <v>276</v>
      </c>
      <c r="J32" s="49" t="s">
        <v>276</v>
      </c>
    </row>
    <row r="33" spans="1:10" x14ac:dyDescent="0.2">
      <c r="A33" s="35"/>
      <c r="B33" s="42" t="str">
        <f>VLOOKUP("&lt;T2Zeilentitel_7.7&gt;",Uebersetzungen!$B$3:$E$92,Uebersetzungen!$B$2+1,FALSE)</f>
        <v>Qualifizierte manuelle Berufe</v>
      </c>
      <c r="C33" s="92">
        <v>9675.5097240627783</v>
      </c>
      <c r="D33" s="46">
        <v>12.183978199175272</v>
      </c>
      <c r="E33" s="58">
        <v>6230.7726401926038</v>
      </c>
      <c r="F33" s="44">
        <v>14.709988840617671</v>
      </c>
      <c r="G33" s="58">
        <v>3444.737083870174</v>
      </c>
      <c r="H33" s="46">
        <v>22.149892240687546</v>
      </c>
      <c r="I33" s="58" t="s">
        <v>276</v>
      </c>
      <c r="J33" s="49" t="s">
        <v>276</v>
      </c>
    </row>
    <row r="34" spans="1:10" ht="25.5" x14ac:dyDescent="0.2">
      <c r="A34" s="35"/>
      <c r="B34" s="42" t="str">
        <f>VLOOKUP("&lt;T2Zeilentitel_7.8&gt;",Uebersetzungen!$B$3:$E$92,Uebersetzungen!$B$2+1,FALSE)</f>
        <v>Ungelernte Angestellte und Arbeiter</v>
      </c>
      <c r="C34" s="92">
        <v>5853.1832767080732</v>
      </c>
      <c r="D34" s="46">
        <v>16.140312244326328</v>
      </c>
      <c r="E34" s="52">
        <v>1165.4029178352087</v>
      </c>
      <c r="F34" s="56">
        <v>33.664438429050129</v>
      </c>
      <c r="G34" s="58">
        <v>4614.5103630322174</v>
      </c>
      <c r="H34" s="46">
        <v>18.606323751049896</v>
      </c>
      <c r="I34" s="58" t="s">
        <v>276</v>
      </c>
      <c r="J34" s="49" t="s">
        <v>276</v>
      </c>
    </row>
    <row r="35" spans="1:10" ht="25.5" customHeight="1" x14ac:dyDescent="0.2">
      <c r="A35" s="35"/>
      <c r="B35" s="42" t="str">
        <f>VLOOKUP("&lt;T2Zeilentitel_7.9&gt;",Uebersetzungen!$B$3:$E$92,Uebersetzungen!$B$2+1,FALSE)</f>
        <v>Lernende in dualer beruflicher Grundbildung (Lehrlinge)</v>
      </c>
      <c r="C35" s="92">
        <v>2635.7418494780122</v>
      </c>
      <c r="D35" s="46">
        <v>22.722475697722587</v>
      </c>
      <c r="E35" s="58">
        <v>1994.8711744645684</v>
      </c>
      <c r="F35" s="44">
        <v>25.296364972930544</v>
      </c>
      <c r="G35" s="50">
        <v>640.87067501344382</v>
      </c>
      <c r="H35" s="57">
        <v>50.795915311578256</v>
      </c>
      <c r="I35" s="58" t="s">
        <v>276</v>
      </c>
      <c r="J35" s="49" t="s">
        <v>276</v>
      </c>
    </row>
    <row r="36" spans="1:10" ht="38.25" x14ac:dyDescent="0.2">
      <c r="A36" s="35"/>
      <c r="B36" s="42" t="str">
        <f>VLOOKUP("&lt;T2Zeilentitel_7.10&gt;",Uebersetzungen!$B$3:$E$92,Uebersetzungen!$B$2+1,FALSE)</f>
        <v>Nicht zuteilbare Erwerbstätige (fehlende oder unklare Basisdaten oder unplausible Kombination)</v>
      </c>
      <c r="C36" s="107">
        <v>1453.1300693931603</v>
      </c>
      <c r="D36" s="57">
        <v>31.192680984634492</v>
      </c>
      <c r="E36" s="50">
        <v>867.22460563156551</v>
      </c>
      <c r="F36" s="56">
        <v>39.579872696449641</v>
      </c>
      <c r="G36" s="50">
        <v>585.90546376159477</v>
      </c>
      <c r="H36" s="57">
        <v>50.747239034176424</v>
      </c>
      <c r="I36" s="58" t="s">
        <v>276</v>
      </c>
      <c r="J36" s="49" t="s">
        <v>276</v>
      </c>
    </row>
    <row r="37" spans="1:10" ht="25.5" x14ac:dyDescent="0.2">
      <c r="A37" s="35"/>
      <c r="B37" s="42" t="str">
        <f>VLOOKUP("&lt;T2Zeilentitel_7.11&gt;",Uebersetzungen!$B$3:$E$92,Uebersetzungen!$B$2+1,FALSE)</f>
        <v>Erwerbslose und Nichterwerbspersonen</v>
      </c>
      <c r="C37" s="116">
        <v>65786.672976606525</v>
      </c>
      <c r="D37" s="117">
        <v>3.5246268704900303</v>
      </c>
      <c r="E37" s="118">
        <v>48761.279230894484</v>
      </c>
      <c r="F37" s="79">
        <v>4.3067308274112204</v>
      </c>
      <c r="G37" s="118">
        <v>16802.463282185752</v>
      </c>
      <c r="H37" s="117">
        <v>8.8330185821424454</v>
      </c>
      <c r="I37" s="119">
        <v>222.93046352628062</v>
      </c>
      <c r="J37" s="120">
        <v>73.931875815568958</v>
      </c>
    </row>
    <row r="38" spans="1:10" ht="12.75" customHeight="1" x14ac:dyDescent="0.2">
      <c r="A38" s="31" t="str">
        <f>VLOOKUP("&lt;T2Zeilentitel_8&gt;",Uebersetzungen!$B$3:$E$92,Uebersetzungen!$B$2+1,FALSE)</f>
        <v>Höchste abgeschlossene Ausbildung</v>
      </c>
      <c r="B38" s="40" t="str">
        <f>VLOOKUP("&lt;T2Zeilentitel_8.1&gt;",Uebersetzungen!$B$3:$E$92,Uebersetzungen!$B$2+1,FALSE)</f>
        <v>Ohne nachobligatorische Aubildung</v>
      </c>
      <c r="C38" s="92">
        <v>32938.13710136609</v>
      </c>
      <c r="D38" s="46">
        <v>5.9139819080388421</v>
      </c>
      <c r="E38" s="58">
        <v>17539.289553935119</v>
      </c>
      <c r="F38" s="44">
        <v>8.099485637775512</v>
      </c>
      <c r="G38" s="58">
        <v>15195.937998263431</v>
      </c>
      <c r="H38" s="46">
        <v>9.6795470604269784</v>
      </c>
      <c r="I38" s="50">
        <v>202.90954916753674</v>
      </c>
      <c r="J38" s="51">
        <v>80.641413635759534</v>
      </c>
    </row>
    <row r="39" spans="1:10" x14ac:dyDescent="0.2">
      <c r="A39" s="35"/>
      <c r="B39" s="42" t="str">
        <f>VLOOKUP("&lt;T2Zeilentitel_8.2&gt;",Uebersetzungen!$B$3:$E$92,Uebersetzungen!$B$2+1,FALSE)</f>
        <v>Sekundarstufe II</v>
      </c>
      <c r="C39" s="92">
        <v>81217.846845221793</v>
      </c>
      <c r="D39" s="46">
        <v>3.0408354358789209</v>
      </c>
      <c r="E39" s="58">
        <v>60000.72272026266</v>
      </c>
      <c r="F39" s="44">
        <v>3.775537916357683</v>
      </c>
      <c r="G39" s="58">
        <v>20977.391656821335</v>
      </c>
      <c r="H39" s="46">
        <v>8.0804747081704313</v>
      </c>
      <c r="I39" s="50">
        <v>239.73246813779912</v>
      </c>
      <c r="J39" s="51">
        <v>73.087378257145929</v>
      </c>
    </row>
    <row r="40" spans="1:10" ht="13.5" thickBot="1" x14ac:dyDescent="0.25">
      <c r="A40" s="36"/>
      <c r="B40" s="43" t="str">
        <f>VLOOKUP("&lt;T2Zeilentitel_8.3&gt;",Uebersetzungen!$B$3:$E$92,Uebersetzungen!$B$2+1,FALSE)</f>
        <v>Tertiärstufe</v>
      </c>
      <c r="C40" s="93">
        <v>61821.016053407518</v>
      </c>
      <c r="D40" s="47">
        <v>3.7375170185912685</v>
      </c>
      <c r="E40" s="48">
        <v>44665.082686277674</v>
      </c>
      <c r="F40" s="45">
        <v>4.6196429317959025</v>
      </c>
      <c r="G40" s="48">
        <v>17083.880603767331</v>
      </c>
      <c r="H40" s="47">
        <v>8.7495595333812961</v>
      </c>
      <c r="I40" s="48" t="s">
        <v>276</v>
      </c>
      <c r="J40" s="59" t="s">
        <v>276</v>
      </c>
    </row>
    <row r="41" spans="1:10" x14ac:dyDescent="0.2">
      <c r="A41" s="26"/>
      <c r="B41" s="19"/>
      <c r="C41" s="27"/>
      <c r="D41" s="28"/>
      <c r="E41" s="28"/>
      <c r="F41" s="28"/>
      <c r="G41" s="27"/>
      <c r="H41" s="28"/>
      <c r="I41" s="29"/>
      <c r="J41" s="28"/>
    </row>
    <row r="42" spans="1:10" x14ac:dyDescent="0.2">
      <c r="A42" s="14" t="str">
        <f>VLOOKUP("&lt;Legende_1&gt;",Uebersetzungen!$B$3:$E$49,Uebersetzungen!$B$2+1,FALSE)</f>
        <v>(): Extrapolation aufgrund von 49 oder weniger Beobachtungen. Die Resultate sind mit grosser Vorsicht zu interpretieren.</v>
      </c>
    </row>
    <row r="43" spans="1:10" x14ac:dyDescent="0.2">
      <c r="A43" s="14" t="str">
        <f>VLOOKUP("&lt;Legende_2&gt;",Uebersetzungen!$B$3:$E$49,Uebersetzungen!$B$2+1,FALSE)</f>
        <v>X: Extrapolation aufgrund von 4 oder weniger Beobachtungen. Die Resultate werden aus Gründen des Datenschutzes nicht publiziert.</v>
      </c>
    </row>
    <row r="44" spans="1:10" x14ac:dyDescent="0.2">
      <c r="A44" s="14" t="str">
        <f>VLOOKUP("&lt;Legende_3&gt;",Uebersetzungen!$B$3:$E$49,Uebersetzungen!$B$2+1,FALSE)</f>
        <v>Die Grundgesamtheit der Strukturerhebung enthält alle Personen der ständigen Wohnbevölkerung ab vollendetem 15. Altersjahr, die in Privathaushalten leben.</v>
      </c>
    </row>
    <row r="45" spans="1:10" x14ac:dyDescent="0.2">
      <c r="A45" s="14" t="str">
        <f>VLOOKUP("&lt;Legende_4&gt;",Uebersetzungen!$B$3:$E$49,Uebersetzungen!$B$2+1,FALSE)</f>
        <v>Aus der Grundgesamtheit ausgeschlossen wurden neben den Personen, die in Kollektivhaushalten leben, auch Diplomaten, internationale Funktionäre und deren Angehörige.</v>
      </c>
    </row>
    <row r="46" spans="1:10" x14ac:dyDescent="0.2">
      <c r="A46" s="7"/>
    </row>
    <row r="47" spans="1:10" x14ac:dyDescent="0.2">
      <c r="A47" s="7" t="str">
        <f>VLOOKUP("&lt;Quelle_1&gt;",Uebersetzungen!$B$3:$E$92,Uebersetzungen!$B$2+1,FALSE)</f>
        <v>Quelle: BFS (Strukturerhebung)</v>
      </c>
    </row>
    <row r="48" spans="1:10" x14ac:dyDescent="0.2">
      <c r="A48" s="6" t="str">
        <f>VLOOKUP("&lt;T2Aktualisierung&gt;",Uebersetzungen!$B$3:$E$92,Uebersetzungen!$B$2+1,FALSE)</f>
        <v>Letztmals aktualisiert am: 29.01.2026</v>
      </c>
    </row>
    <row r="49" spans="2:10" x14ac:dyDescent="0.2">
      <c r="B49" s="9"/>
      <c r="H49" s="9"/>
    </row>
    <row r="51" spans="2:10" x14ac:dyDescent="0.2">
      <c r="B51" s="10"/>
      <c r="H51" s="10"/>
    </row>
    <row r="52" spans="2:10" x14ac:dyDescent="0.2">
      <c r="H52" s="9"/>
      <c r="I52" s="9"/>
      <c r="J52" s="9"/>
    </row>
  </sheetData>
  <sheetProtection sheet="1" objects="1" scenarios="1"/>
  <mergeCells count="7">
    <mergeCell ref="A7:D7"/>
    <mergeCell ref="B13:B14"/>
    <mergeCell ref="C13:D13"/>
    <mergeCell ref="G13:H13"/>
    <mergeCell ref="I13:J13"/>
    <mergeCell ref="C12:J12"/>
    <mergeCell ref="E13:F13"/>
  </mergeCells>
  <pageMargins left="0.7" right="0.7" top="0.78740157499999996" bottom="0.78740157499999996" header="0.3" footer="0.3"/>
  <pageSetup paperSize="9" scale="56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685800</xdr:colOff>
                    <xdr:row>1</xdr:row>
                    <xdr:rowOff>123825</xdr:rowOff>
                  </from>
                  <to>
                    <xdr:col>5</xdr:col>
                    <xdr:colOff>381000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685800</xdr:colOff>
                    <xdr:row>2</xdr:row>
                    <xdr:rowOff>114300</xdr:rowOff>
                  </from>
                  <to>
                    <xdr:col>6</xdr:col>
                    <xdr:colOff>47625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685800</xdr:colOff>
                    <xdr:row>3</xdr:row>
                    <xdr:rowOff>76200</xdr:rowOff>
                  </from>
                  <to>
                    <xdr:col>5</xdr:col>
                    <xdr:colOff>381000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1"/>
  <sheetViews>
    <sheetView topLeftCell="A47" workbookViewId="0">
      <selection activeCell="G90" sqref="G90"/>
    </sheetView>
  </sheetViews>
  <sheetFormatPr baseColWidth="10" defaultColWidth="11" defaultRowHeight="12.75" x14ac:dyDescent="0.2"/>
  <cols>
    <col min="1" max="1" width="7.5" style="21" bestFit="1" customWidth="1"/>
    <col min="2" max="2" width="15.5" style="21" bestFit="1" customWidth="1"/>
    <col min="3" max="3" width="40.875" style="21" bestFit="1" customWidth="1"/>
    <col min="4" max="4" width="41.625" style="21" bestFit="1" customWidth="1"/>
    <col min="5" max="5" width="41.125" style="21" bestFit="1" customWidth="1"/>
    <col min="6" max="16384" width="11" style="21"/>
  </cols>
  <sheetData>
    <row r="1" spans="1:6" x14ac:dyDescent="0.2">
      <c r="A1" s="15" t="s">
        <v>57</v>
      </c>
      <c r="B1" s="15" t="s">
        <v>58</v>
      </c>
      <c r="C1" s="15" t="s">
        <v>59</v>
      </c>
      <c r="D1" s="15" t="s">
        <v>60</v>
      </c>
      <c r="E1" s="15" t="s">
        <v>61</v>
      </c>
      <c r="F1" s="16"/>
    </row>
    <row r="2" spans="1:6" x14ac:dyDescent="0.2">
      <c r="A2" s="22" t="s">
        <v>62</v>
      </c>
      <c r="B2" s="23">
        <v>1</v>
      </c>
      <c r="C2" s="16"/>
      <c r="D2" s="16"/>
      <c r="E2" s="16"/>
      <c r="F2" s="16"/>
    </row>
    <row r="3" spans="1:6" x14ac:dyDescent="0.2">
      <c r="A3" s="22"/>
      <c r="B3" s="21" t="s">
        <v>64</v>
      </c>
      <c r="C3" s="17" t="s">
        <v>65</v>
      </c>
      <c r="D3" s="17" t="s">
        <v>66</v>
      </c>
      <c r="E3" s="17" t="s">
        <v>67</v>
      </c>
      <c r="F3" s="16"/>
    </row>
    <row r="4" spans="1:6" x14ac:dyDescent="0.2">
      <c r="A4" s="22" t="s">
        <v>63</v>
      </c>
      <c r="B4" s="18" t="s">
        <v>68</v>
      </c>
      <c r="C4" s="18" t="s">
        <v>244</v>
      </c>
      <c r="D4" s="18" t="s">
        <v>251</v>
      </c>
      <c r="E4" s="18" t="s">
        <v>252</v>
      </c>
      <c r="F4" s="16"/>
    </row>
    <row r="5" spans="1:6" ht="25.5" x14ac:dyDescent="0.2">
      <c r="A5" s="22"/>
      <c r="B5" s="21" t="s">
        <v>85</v>
      </c>
      <c r="C5" s="17" t="s">
        <v>47</v>
      </c>
      <c r="D5" s="17" t="s">
        <v>220</v>
      </c>
      <c r="E5" s="17" t="s">
        <v>173</v>
      </c>
      <c r="F5" s="16"/>
    </row>
    <row r="6" spans="1:6" x14ac:dyDescent="0.2">
      <c r="A6" s="22"/>
      <c r="B6" s="22"/>
      <c r="C6" s="22"/>
      <c r="D6" s="22"/>
      <c r="E6" s="22"/>
      <c r="F6" s="16"/>
    </row>
    <row r="7" spans="1:6" ht="14.25" customHeight="1" x14ac:dyDescent="0.2">
      <c r="A7" s="22" t="s">
        <v>106</v>
      </c>
      <c r="B7" s="21" t="s">
        <v>69</v>
      </c>
      <c r="C7" s="17" t="s">
        <v>0</v>
      </c>
      <c r="D7" s="17" t="s">
        <v>0</v>
      </c>
      <c r="E7" s="17" t="s">
        <v>145</v>
      </c>
      <c r="F7" s="16"/>
    </row>
    <row r="8" spans="1:6" x14ac:dyDescent="0.2">
      <c r="A8" s="22"/>
      <c r="B8" s="21" t="s">
        <v>70</v>
      </c>
      <c r="C8" s="17" t="s">
        <v>241</v>
      </c>
      <c r="D8" s="17" t="s">
        <v>245</v>
      </c>
      <c r="E8" s="17" t="s">
        <v>247</v>
      </c>
      <c r="F8" s="16"/>
    </row>
    <row r="9" spans="1:6" x14ac:dyDescent="0.2">
      <c r="A9" s="22"/>
      <c r="B9" s="21" t="s">
        <v>71</v>
      </c>
      <c r="C9" s="17" t="s">
        <v>242</v>
      </c>
      <c r="D9" s="17" t="s">
        <v>246</v>
      </c>
      <c r="E9" s="17" t="s">
        <v>248</v>
      </c>
      <c r="F9" s="16"/>
    </row>
    <row r="10" spans="1:6" x14ac:dyDescent="0.2">
      <c r="A10" s="22"/>
      <c r="B10" s="21" t="s">
        <v>240</v>
      </c>
      <c r="C10" s="17" t="s">
        <v>243</v>
      </c>
      <c r="D10" s="17" t="s">
        <v>249</v>
      </c>
      <c r="E10" s="17" t="s">
        <v>250</v>
      </c>
      <c r="F10" s="16"/>
    </row>
    <row r="11" spans="1:6" x14ac:dyDescent="0.2">
      <c r="A11" s="22"/>
      <c r="B11" s="22"/>
      <c r="C11" s="22"/>
      <c r="D11" s="22"/>
      <c r="E11" s="22"/>
      <c r="F11" s="22"/>
    </row>
    <row r="12" spans="1:6" x14ac:dyDescent="0.2">
      <c r="A12" s="22"/>
      <c r="B12" s="21" t="s">
        <v>117</v>
      </c>
      <c r="C12" s="17" t="s">
        <v>1</v>
      </c>
      <c r="D12" s="17" t="s">
        <v>238</v>
      </c>
      <c r="E12" s="17" t="s">
        <v>146</v>
      </c>
      <c r="F12" s="16"/>
    </row>
    <row r="13" spans="1:6" x14ac:dyDescent="0.2">
      <c r="A13" s="22"/>
      <c r="B13" s="21" t="s">
        <v>118</v>
      </c>
      <c r="C13" s="17" t="s">
        <v>236</v>
      </c>
      <c r="D13" s="17" t="s">
        <v>237</v>
      </c>
      <c r="E13" s="17" t="s">
        <v>195</v>
      </c>
      <c r="F13" s="16"/>
    </row>
    <row r="14" spans="1:6" x14ac:dyDescent="0.2">
      <c r="A14" s="22"/>
      <c r="B14" s="16"/>
      <c r="C14" s="16"/>
      <c r="D14" s="16"/>
      <c r="E14" s="16"/>
      <c r="F14" s="16"/>
    </row>
    <row r="15" spans="1:6" x14ac:dyDescent="0.2">
      <c r="A15" s="22" t="s">
        <v>63</v>
      </c>
      <c r="B15" s="21" t="s">
        <v>72</v>
      </c>
      <c r="C15" s="17" t="s">
        <v>0</v>
      </c>
      <c r="D15" s="17" t="s">
        <v>0</v>
      </c>
      <c r="E15" s="17" t="s">
        <v>145</v>
      </c>
      <c r="F15" s="16"/>
    </row>
    <row r="16" spans="1:6" x14ac:dyDescent="0.2">
      <c r="A16" s="16"/>
      <c r="B16" s="21" t="s">
        <v>73</v>
      </c>
      <c r="C16" s="17" t="s">
        <v>2</v>
      </c>
      <c r="D16" s="17" t="s">
        <v>203</v>
      </c>
      <c r="E16" s="17" t="s">
        <v>148</v>
      </c>
      <c r="F16" s="16"/>
    </row>
    <row r="17" spans="1:6" x14ac:dyDescent="0.2">
      <c r="A17" s="16"/>
      <c r="B17" s="21" t="s">
        <v>74</v>
      </c>
      <c r="C17" s="17" t="s">
        <v>49</v>
      </c>
      <c r="D17" s="17" t="s">
        <v>149</v>
      </c>
      <c r="E17" s="17" t="s">
        <v>149</v>
      </c>
      <c r="F17" s="16"/>
    </row>
    <row r="18" spans="1:6" x14ac:dyDescent="0.2">
      <c r="A18" s="16"/>
      <c r="B18" s="21" t="s">
        <v>75</v>
      </c>
      <c r="C18" s="17" t="s">
        <v>3</v>
      </c>
      <c r="D18" s="17" t="s">
        <v>150</v>
      </c>
      <c r="E18" s="17" t="s">
        <v>150</v>
      </c>
      <c r="F18" s="16"/>
    </row>
    <row r="19" spans="1:6" x14ac:dyDescent="0.2">
      <c r="A19" s="16"/>
      <c r="B19" s="21" t="s">
        <v>76</v>
      </c>
      <c r="C19" s="17" t="s">
        <v>4</v>
      </c>
      <c r="D19" s="17" t="s">
        <v>4</v>
      </c>
      <c r="E19" s="17" t="s">
        <v>4</v>
      </c>
      <c r="F19" s="16"/>
    </row>
    <row r="20" spans="1:6" x14ac:dyDescent="0.2">
      <c r="A20" s="16"/>
      <c r="B20" s="21" t="s">
        <v>77</v>
      </c>
      <c r="C20" s="17" t="s">
        <v>5</v>
      </c>
      <c r="D20" s="17" t="s">
        <v>196</v>
      </c>
      <c r="E20" s="17" t="s">
        <v>151</v>
      </c>
      <c r="F20" s="16"/>
    </row>
    <row r="21" spans="1:6" x14ac:dyDescent="0.2">
      <c r="A21" s="16"/>
      <c r="B21" s="21" t="s">
        <v>78</v>
      </c>
      <c r="C21" s="17" t="s">
        <v>6</v>
      </c>
      <c r="D21" s="17" t="s">
        <v>202</v>
      </c>
      <c r="E21" s="17" t="s">
        <v>152</v>
      </c>
      <c r="F21" s="16"/>
    </row>
    <row r="22" spans="1:6" x14ac:dyDescent="0.2">
      <c r="A22" s="16"/>
      <c r="B22" s="21" t="s">
        <v>79</v>
      </c>
      <c r="C22" s="17" t="s">
        <v>7</v>
      </c>
      <c r="D22" s="17" t="s">
        <v>201</v>
      </c>
      <c r="E22" s="17" t="s">
        <v>153</v>
      </c>
      <c r="F22" s="16"/>
    </row>
    <row r="23" spans="1:6" x14ac:dyDescent="0.2">
      <c r="A23" s="16"/>
      <c r="B23" s="21" t="s">
        <v>86</v>
      </c>
      <c r="C23" s="17" t="s">
        <v>8</v>
      </c>
      <c r="D23" s="17" t="s">
        <v>199</v>
      </c>
      <c r="E23" s="17" t="s">
        <v>154</v>
      </c>
      <c r="F23" s="16"/>
    </row>
    <row r="24" spans="1:6" x14ac:dyDescent="0.2">
      <c r="A24" s="16"/>
      <c r="B24" s="21" t="s">
        <v>87</v>
      </c>
      <c r="C24" s="17" t="s">
        <v>9</v>
      </c>
      <c r="D24" s="17" t="s">
        <v>9</v>
      </c>
      <c r="E24" s="17" t="s">
        <v>155</v>
      </c>
      <c r="F24" s="16"/>
    </row>
    <row r="25" spans="1:6" x14ac:dyDescent="0.2">
      <c r="A25" s="16"/>
      <c r="B25" s="21" t="s">
        <v>88</v>
      </c>
      <c r="C25" s="17" t="s">
        <v>50</v>
      </c>
      <c r="D25" s="17" t="s">
        <v>198</v>
      </c>
      <c r="E25" s="17" t="s">
        <v>156</v>
      </c>
      <c r="F25" s="16"/>
    </row>
    <row r="26" spans="1:6" x14ac:dyDescent="0.2">
      <c r="A26" s="16"/>
      <c r="B26" s="21" t="s">
        <v>89</v>
      </c>
      <c r="C26" s="17" t="s">
        <v>10</v>
      </c>
      <c r="D26" s="17" t="s">
        <v>197</v>
      </c>
      <c r="E26" s="17" t="s">
        <v>157</v>
      </c>
      <c r="F26" s="16"/>
    </row>
    <row r="27" spans="1:6" x14ac:dyDescent="0.2">
      <c r="A27" s="16"/>
      <c r="B27" s="21" t="s">
        <v>90</v>
      </c>
      <c r="C27" s="17" t="s">
        <v>11</v>
      </c>
      <c r="D27" s="17" t="s">
        <v>204</v>
      </c>
      <c r="E27" s="17" t="s">
        <v>158</v>
      </c>
      <c r="F27" s="16"/>
    </row>
    <row r="28" spans="1:6" x14ac:dyDescent="0.2">
      <c r="A28" s="16"/>
      <c r="B28" s="21" t="s">
        <v>91</v>
      </c>
      <c r="C28" s="17" t="s">
        <v>12</v>
      </c>
      <c r="D28" s="17" t="s">
        <v>205</v>
      </c>
      <c r="E28" s="17" t="s">
        <v>159</v>
      </c>
      <c r="F28" s="16"/>
    </row>
    <row r="29" spans="1:6" x14ac:dyDescent="0.2">
      <c r="A29" s="16"/>
      <c r="B29" s="21" t="s">
        <v>92</v>
      </c>
      <c r="C29" s="17" t="s">
        <v>13</v>
      </c>
      <c r="D29" s="17" t="s">
        <v>200</v>
      </c>
      <c r="E29" s="17" t="s">
        <v>160</v>
      </c>
      <c r="F29" s="16"/>
    </row>
    <row r="30" spans="1:6" x14ac:dyDescent="0.2">
      <c r="A30" s="16"/>
      <c r="B30" s="21" t="s">
        <v>93</v>
      </c>
      <c r="C30" s="17" t="s">
        <v>14</v>
      </c>
      <c r="D30" s="17" t="s">
        <v>206</v>
      </c>
      <c r="E30" s="17" t="s">
        <v>161</v>
      </c>
      <c r="F30" s="16"/>
    </row>
    <row r="31" spans="1:6" x14ac:dyDescent="0.2">
      <c r="A31" s="16"/>
      <c r="B31" s="21" t="s">
        <v>94</v>
      </c>
      <c r="C31" s="17" t="s">
        <v>15</v>
      </c>
      <c r="D31" s="17" t="s">
        <v>207</v>
      </c>
      <c r="E31" s="17" t="s">
        <v>162</v>
      </c>
      <c r="F31" s="16"/>
    </row>
    <row r="32" spans="1:6" x14ac:dyDescent="0.2">
      <c r="A32" s="16"/>
      <c r="B32" s="21" t="s">
        <v>95</v>
      </c>
      <c r="C32" s="17" t="s">
        <v>16</v>
      </c>
      <c r="D32" s="17" t="s">
        <v>208</v>
      </c>
      <c r="E32" s="17" t="s">
        <v>163</v>
      </c>
      <c r="F32" s="16"/>
    </row>
    <row r="33" spans="1:6" x14ac:dyDescent="0.2">
      <c r="A33" s="16"/>
      <c r="B33" s="21" t="s">
        <v>96</v>
      </c>
      <c r="C33" s="17" t="s">
        <v>51</v>
      </c>
      <c r="D33" s="17" t="s">
        <v>212</v>
      </c>
      <c r="E33" s="17" t="s">
        <v>164</v>
      </c>
      <c r="F33" s="16"/>
    </row>
    <row r="34" spans="1:6" x14ac:dyDescent="0.2">
      <c r="A34" s="16"/>
      <c r="B34" s="21" t="s">
        <v>97</v>
      </c>
      <c r="C34" s="17" t="s">
        <v>17</v>
      </c>
      <c r="D34" s="17" t="s">
        <v>165</v>
      </c>
      <c r="E34" s="17" t="s">
        <v>165</v>
      </c>
      <c r="F34" s="16"/>
    </row>
    <row r="35" spans="1:6" x14ac:dyDescent="0.2">
      <c r="A35" s="16"/>
      <c r="B35" s="21" t="s">
        <v>98</v>
      </c>
      <c r="C35" s="17" t="s">
        <v>18</v>
      </c>
      <c r="D35" s="17" t="s">
        <v>166</v>
      </c>
      <c r="E35" s="17" t="s">
        <v>166</v>
      </c>
      <c r="F35" s="16"/>
    </row>
    <row r="36" spans="1:6" x14ac:dyDescent="0.2">
      <c r="A36" s="16"/>
      <c r="B36" s="21" t="s">
        <v>99</v>
      </c>
      <c r="C36" s="17" t="s">
        <v>53</v>
      </c>
      <c r="D36" s="17" t="s">
        <v>53</v>
      </c>
      <c r="E36" s="17" t="s">
        <v>167</v>
      </c>
      <c r="F36" s="16"/>
    </row>
    <row r="37" spans="1:6" x14ac:dyDescent="0.2">
      <c r="A37" s="16"/>
      <c r="B37" s="21" t="s">
        <v>100</v>
      </c>
      <c r="C37" s="17" t="s">
        <v>54</v>
      </c>
      <c r="D37" s="17" t="s">
        <v>211</v>
      </c>
      <c r="E37" s="17" t="s">
        <v>168</v>
      </c>
      <c r="F37" s="16"/>
    </row>
    <row r="38" spans="1:6" x14ac:dyDescent="0.2">
      <c r="A38" s="16"/>
      <c r="B38" s="21" t="s">
        <v>101</v>
      </c>
      <c r="C38" s="17" t="s">
        <v>52</v>
      </c>
      <c r="D38" s="17" t="s">
        <v>210</v>
      </c>
      <c r="E38" s="17" t="s">
        <v>169</v>
      </c>
      <c r="F38" s="16"/>
    </row>
    <row r="39" spans="1:6" x14ac:dyDescent="0.2">
      <c r="A39" s="16"/>
      <c r="B39" s="21" t="s">
        <v>102</v>
      </c>
      <c r="C39" s="17" t="s">
        <v>55</v>
      </c>
      <c r="D39" s="17" t="s">
        <v>170</v>
      </c>
      <c r="E39" s="17" t="s">
        <v>170</v>
      </c>
      <c r="F39" s="16"/>
    </row>
    <row r="40" spans="1:6" x14ac:dyDescent="0.2">
      <c r="A40" s="16"/>
      <c r="B40" s="21" t="s">
        <v>103</v>
      </c>
      <c r="C40" s="17" t="s">
        <v>56</v>
      </c>
      <c r="D40" s="17" t="s">
        <v>209</v>
      </c>
      <c r="E40" s="17" t="s">
        <v>171</v>
      </c>
      <c r="F40" s="16"/>
    </row>
    <row r="41" spans="1:6" x14ac:dyDescent="0.2">
      <c r="A41" s="16"/>
      <c r="B41" s="21" t="s">
        <v>104</v>
      </c>
      <c r="C41" s="17" t="s">
        <v>19</v>
      </c>
      <c r="D41" s="17" t="s">
        <v>172</v>
      </c>
      <c r="E41" s="17" t="s">
        <v>172</v>
      </c>
      <c r="F41" s="16"/>
    </row>
    <row r="42" spans="1:6" x14ac:dyDescent="0.2">
      <c r="A42" s="16"/>
      <c r="B42" s="16"/>
      <c r="C42" s="16"/>
      <c r="D42" s="16"/>
      <c r="E42" s="16"/>
      <c r="F42" s="16"/>
    </row>
    <row r="43" spans="1:6" x14ac:dyDescent="0.2">
      <c r="A43" s="22"/>
      <c r="B43" s="21" t="s">
        <v>80</v>
      </c>
      <c r="C43" s="38" t="s">
        <v>20</v>
      </c>
      <c r="D43" s="14" t="str">
        <f>VLOOKUP("&lt;Legende_1&gt;",[1]Uebersetzungen!$B$3:$E$52,[1]Uebersetzungen!$B$2+1,FALSE)</f>
        <v>(): Extrapolation aufgrund von 49 oder weniger Beobachtungen. Die Resultate sind mit grosser Vorsicht zu interpretieren.</v>
      </c>
      <c r="E43" s="14" t="str">
        <f>VLOOKUP("&lt;Legende_1&gt;",[1]Uebersetzungen!$B$3:$E$52,[1]Uebersetzungen!$B$2+1,FALSE)</f>
        <v>(): Extrapolation aufgrund von 49 oder weniger Beobachtungen. Die Resultate sind mit grosser Vorsicht zu interpretieren.</v>
      </c>
      <c r="F43" s="16"/>
    </row>
    <row r="44" spans="1:6" x14ac:dyDescent="0.2">
      <c r="A44" s="16"/>
      <c r="B44" s="21" t="s">
        <v>81</v>
      </c>
      <c r="C44" s="38" t="s">
        <v>21</v>
      </c>
      <c r="D44" s="14" t="str">
        <f>VLOOKUP("&lt;Legende_2&gt;",[1]Uebersetzungen!$B$3:$E$52,[1]Uebersetzungen!$B$2+1,FALSE)</f>
        <v>X: Extrapolation aufgrund von 4 oder weniger Beobachtungen. Die Resultate werden aus Gründen des Datenschutzes nicht publiziert.</v>
      </c>
      <c r="E44" s="14" t="str">
        <f>VLOOKUP("&lt;Legende_2&gt;",[1]Uebersetzungen!$B$3:$E$52,[1]Uebersetzungen!$B$2+1,FALSE)</f>
        <v>X: Extrapolation aufgrund von 4 oder weniger Beobachtungen. Die Resultate werden aus Gründen des Datenschutzes nicht publiziert.</v>
      </c>
      <c r="F44" s="16"/>
    </row>
    <row r="45" spans="1:6" x14ac:dyDescent="0.2">
      <c r="A45" s="16"/>
      <c r="B45" s="21" t="s">
        <v>82</v>
      </c>
      <c r="C45" s="38" t="s">
        <v>22</v>
      </c>
      <c r="D45" s="14" t="str">
        <f>VLOOKUP("&lt;Legende_3&gt;",[1]Uebersetzungen!$B$3:$E$52,[1]Uebersetzungen!$B$2+1,FALSE)</f>
        <v>Die Grundgesamtheit der Strukturerhebung enthält alle Personen der ständigen Wohnbevölkerung ab vollendetem 15. Altersjahr, die in Privathaushalten leben.</v>
      </c>
      <c r="E45" s="14" t="str">
        <f>VLOOKUP("&lt;Legende_3&gt;",[1]Uebersetzungen!$B$3:$E$52,[1]Uebersetzungen!$B$2+1,FALSE)</f>
        <v>Die Grundgesamtheit der Strukturerhebung enthält alle Personen der ständigen Wohnbevölkerung ab vollendetem 15. Altersjahr, die in Privathaushalten leben.</v>
      </c>
      <c r="F45" s="16"/>
    </row>
    <row r="46" spans="1:6" x14ac:dyDescent="0.2">
      <c r="A46" s="16"/>
      <c r="B46" s="21" t="s">
        <v>83</v>
      </c>
      <c r="C46" s="38" t="s">
        <v>23</v>
      </c>
      <c r="D46" s="14" t="str">
        <f>VLOOKUP("&lt;Legende_4&gt;",[1]Uebersetzungen!$B$3:$E$52,[1]Uebersetzungen!$B$2+1,FALSE)</f>
        <v>Aus der Grundgesamtheit ausgeschlossen wurden neben den Personen, die in Kollektivhaushalten leben, auch Diplomaten, internationale Funktionäre und deren Angehörige.</v>
      </c>
      <c r="E46" s="14" t="str">
        <f>VLOOKUP("&lt;Legende_4&gt;",[1]Uebersetzungen!$B$3:$E$52,[1]Uebersetzungen!$B$2+1,FALSE)</f>
        <v>Aus der Grundgesamtheit ausgeschlossen wurden neben den Personen, die in Kollektivhaushalten leben, auch Diplomaten, internationale Funktionäre und deren Angehörige.</v>
      </c>
      <c r="F46" s="16"/>
    </row>
    <row r="47" spans="1:6" x14ac:dyDescent="0.2">
      <c r="A47" s="16"/>
      <c r="B47" s="16"/>
      <c r="C47" s="16"/>
      <c r="D47" s="16"/>
      <c r="E47" s="16"/>
      <c r="F47" s="16"/>
    </row>
    <row r="48" spans="1:6" x14ac:dyDescent="0.2">
      <c r="A48" s="16" t="s">
        <v>106</v>
      </c>
      <c r="B48" s="21" t="s">
        <v>105</v>
      </c>
      <c r="C48" s="17" t="s">
        <v>48</v>
      </c>
      <c r="D48" s="17" t="s">
        <v>239</v>
      </c>
      <c r="E48" s="17" t="s">
        <v>147</v>
      </c>
      <c r="F48" s="16"/>
    </row>
    <row r="49" spans="1:6" x14ac:dyDescent="0.2">
      <c r="A49" s="16" t="s">
        <v>63</v>
      </c>
      <c r="B49" s="24" t="s">
        <v>84</v>
      </c>
      <c r="C49" s="20" t="s">
        <v>277</v>
      </c>
      <c r="D49" s="20" t="s">
        <v>278</v>
      </c>
      <c r="E49" s="20" t="s">
        <v>279</v>
      </c>
      <c r="F49" s="16"/>
    </row>
    <row r="50" spans="1:6" x14ac:dyDescent="0.2">
      <c r="A50" s="16"/>
      <c r="B50" s="16"/>
      <c r="C50" s="16"/>
      <c r="D50" s="16"/>
      <c r="E50" s="16"/>
      <c r="F50" s="16"/>
    </row>
    <row r="51" spans="1:6" x14ac:dyDescent="0.2">
      <c r="A51" s="22"/>
      <c r="B51" s="23"/>
      <c r="C51" s="16"/>
      <c r="D51" s="16"/>
      <c r="E51" s="16"/>
      <c r="F51" s="16"/>
    </row>
    <row r="52" spans="1:6" x14ac:dyDescent="0.2">
      <c r="A52" s="22" t="s">
        <v>107</v>
      </c>
      <c r="B52" s="21" t="s">
        <v>108</v>
      </c>
      <c r="C52" s="18" t="s">
        <v>253</v>
      </c>
      <c r="D52" s="18" t="s">
        <v>254</v>
      </c>
      <c r="E52" s="18" t="s">
        <v>255</v>
      </c>
      <c r="F52" s="16"/>
    </row>
    <row r="53" spans="1:6" ht="25.5" x14ac:dyDescent="0.2">
      <c r="A53" s="22"/>
      <c r="B53" s="21" t="s">
        <v>109</v>
      </c>
      <c r="C53" s="17" t="s">
        <v>47</v>
      </c>
      <c r="D53" s="17" t="s">
        <v>220</v>
      </c>
      <c r="E53" s="17" t="s">
        <v>173</v>
      </c>
      <c r="F53" s="16"/>
    </row>
    <row r="54" spans="1:6" x14ac:dyDescent="0.2">
      <c r="A54" s="22"/>
      <c r="B54" s="16"/>
      <c r="C54" s="16"/>
      <c r="D54" s="16"/>
      <c r="E54" s="16"/>
      <c r="F54" s="16"/>
    </row>
    <row r="55" spans="1:6" x14ac:dyDescent="0.2">
      <c r="A55" s="22" t="s">
        <v>107</v>
      </c>
      <c r="B55" s="21" t="s">
        <v>110</v>
      </c>
      <c r="C55" s="17" t="s">
        <v>0</v>
      </c>
      <c r="D55" s="17" t="s">
        <v>0</v>
      </c>
      <c r="E55" s="17" t="s">
        <v>145</v>
      </c>
      <c r="F55" s="16"/>
    </row>
    <row r="56" spans="1:6" x14ac:dyDescent="0.2">
      <c r="A56" s="16"/>
      <c r="B56" s="21" t="s">
        <v>111</v>
      </c>
      <c r="C56" s="17" t="s">
        <v>24</v>
      </c>
      <c r="D56" s="17" t="s">
        <v>215</v>
      </c>
      <c r="E56" s="17" t="s">
        <v>174</v>
      </c>
      <c r="F56" s="16"/>
    </row>
    <row r="57" spans="1:6" x14ac:dyDescent="0.2">
      <c r="A57" s="16"/>
      <c r="B57" s="21" t="s">
        <v>112</v>
      </c>
      <c r="C57" s="17" t="s">
        <v>27</v>
      </c>
      <c r="D57" s="25" t="s">
        <v>216</v>
      </c>
      <c r="E57" s="17" t="s">
        <v>175</v>
      </c>
      <c r="F57" s="16"/>
    </row>
    <row r="58" spans="1:6" x14ac:dyDescent="0.2">
      <c r="A58" s="16"/>
      <c r="B58" s="21" t="s">
        <v>113</v>
      </c>
      <c r="C58" s="17" t="s">
        <v>256</v>
      </c>
      <c r="D58" s="17" t="s">
        <v>257</v>
      </c>
      <c r="E58" s="17" t="s">
        <v>258</v>
      </c>
      <c r="F58" s="16"/>
    </row>
    <row r="59" spans="1:6" x14ac:dyDescent="0.2">
      <c r="A59" s="16"/>
      <c r="B59" s="21" t="s">
        <v>114</v>
      </c>
      <c r="C59" s="17" t="s">
        <v>28</v>
      </c>
      <c r="D59" s="17" t="s">
        <v>217</v>
      </c>
      <c r="E59" s="17" t="s">
        <v>259</v>
      </c>
      <c r="F59" s="16"/>
    </row>
    <row r="60" spans="1:6" x14ac:dyDescent="0.2">
      <c r="A60" s="16"/>
      <c r="B60" s="21" t="s">
        <v>115</v>
      </c>
      <c r="F60" s="16"/>
    </row>
    <row r="61" spans="1:6" x14ac:dyDescent="0.2">
      <c r="A61" s="16"/>
      <c r="B61" s="21" t="s">
        <v>116</v>
      </c>
      <c r="C61" s="17" t="s">
        <v>32</v>
      </c>
      <c r="D61" s="17" t="s">
        <v>218</v>
      </c>
      <c r="E61" s="17" t="s">
        <v>260</v>
      </c>
      <c r="F61" s="16"/>
    </row>
    <row r="62" spans="1:6" x14ac:dyDescent="0.2">
      <c r="A62" s="16"/>
      <c r="B62" s="21" t="s">
        <v>130</v>
      </c>
      <c r="C62" s="17" t="s">
        <v>44</v>
      </c>
      <c r="D62" s="17" t="s">
        <v>219</v>
      </c>
      <c r="E62" s="17" t="s">
        <v>261</v>
      </c>
      <c r="F62" s="16"/>
    </row>
    <row r="63" spans="1:6" x14ac:dyDescent="0.2">
      <c r="A63" s="16"/>
      <c r="B63" s="16"/>
      <c r="C63" s="16"/>
      <c r="D63" s="16"/>
      <c r="E63" s="16"/>
      <c r="F63" s="16"/>
    </row>
    <row r="64" spans="1:6" x14ac:dyDescent="0.2">
      <c r="A64" s="16"/>
      <c r="B64" s="21" t="s">
        <v>119</v>
      </c>
      <c r="C64" s="17" t="s">
        <v>25</v>
      </c>
      <c r="D64" s="17" t="s">
        <v>213</v>
      </c>
      <c r="E64" s="17" t="s">
        <v>176</v>
      </c>
      <c r="F64" s="16"/>
    </row>
    <row r="65" spans="1:6" x14ac:dyDescent="0.2">
      <c r="A65" s="16"/>
      <c r="B65" s="21" t="s">
        <v>120</v>
      </c>
      <c r="C65" s="17" t="s">
        <v>26</v>
      </c>
      <c r="D65" s="17" t="s">
        <v>214</v>
      </c>
      <c r="E65" s="17" t="s">
        <v>177</v>
      </c>
      <c r="F65" s="16"/>
    </row>
    <row r="66" spans="1:6" x14ac:dyDescent="0.2">
      <c r="A66" s="16"/>
      <c r="B66" s="21" t="s">
        <v>121</v>
      </c>
      <c r="C66" s="17" t="s">
        <v>262</v>
      </c>
      <c r="D66" s="17" t="s">
        <v>262</v>
      </c>
      <c r="E66" s="17" t="s">
        <v>262</v>
      </c>
      <c r="F66" s="16"/>
    </row>
    <row r="67" spans="1:6" x14ac:dyDescent="0.2">
      <c r="A67" s="16"/>
      <c r="B67" s="21" t="s">
        <v>122</v>
      </c>
      <c r="C67" s="17">
        <v>25.44</v>
      </c>
      <c r="D67" s="17">
        <v>25.44</v>
      </c>
      <c r="E67" s="17">
        <v>25.44</v>
      </c>
      <c r="F67" s="16"/>
    </row>
    <row r="68" spans="1:6" x14ac:dyDescent="0.2">
      <c r="A68" s="16"/>
      <c r="B68" s="21" t="s">
        <v>131</v>
      </c>
      <c r="C68" s="17" t="s">
        <v>263</v>
      </c>
      <c r="D68" s="17" t="s">
        <v>263</v>
      </c>
      <c r="E68" s="17" t="s">
        <v>263</v>
      </c>
      <c r="F68" s="16"/>
    </row>
    <row r="69" spans="1:6" x14ac:dyDescent="0.2">
      <c r="A69" s="16"/>
      <c r="B69" s="21" t="s">
        <v>132</v>
      </c>
      <c r="C69" s="17" t="s">
        <v>264</v>
      </c>
      <c r="D69" s="17" t="s">
        <v>265</v>
      </c>
      <c r="E69" s="17" t="s">
        <v>266</v>
      </c>
      <c r="F69" s="16"/>
    </row>
    <row r="70" spans="1:6" x14ac:dyDescent="0.2">
      <c r="A70" s="16"/>
      <c r="B70" s="21" t="s">
        <v>123</v>
      </c>
      <c r="C70" s="17" t="s">
        <v>271</v>
      </c>
      <c r="D70" s="17" t="s">
        <v>269</v>
      </c>
      <c r="E70" s="17" t="s">
        <v>267</v>
      </c>
      <c r="F70" s="16"/>
    </row>
    <row r="71" spans="1:6" x14ac:dyDescent="0.2">
      <c r="A71" s="16"/>
      <c r="B71" s="21" t="s">
        <v>124</v>
      </c>
      <c r="C71" s="17" t="s">
        <v>272</v>
      </c>
      <c r="D71" s="17" t="s">
        <v>270</v>
      </c>
      <c r="E71" s="17" t="s">
        <v>268</v>
      </c>
      <c r="F71" s="16"/>
    </row>
    <row r="72" spans="1:6" x14ac:dyDescent="0.2">
      <c r="A72" s="16"/>
      <c r="B72" s="21" t="s">
        <v>125</v>
      </c>
      <c r="C72" s="17" t="s">
        <v>29</v>
      </c>
      <c r="D72" s="17" t="s">
        <v>235</v>
      </c>
      <c r="E72" s="17" t="s">
        <v>178</v>
      </c>
      <c r="F72" s="16"/>
    </row>
    <row r="73" spans="1:6" x14ac:dyDescent="0.2">
      <c r="A73" s="16"/>
      <c r="B73" s="21" t="s">
        <v>126</v>
      </c>
      <c r="C73" s="17" t="s">
        <v>30</v>
      </c>
      <c r="D73" s="17" t="s">
        <v>234</v>
      </c>
      <c r="E73" s="17" t="s">
        <v>179</v>
      </c>
      <c r="F73" s="16"/>
    </row>
    <row r="74" spans="1:6" x14ac:dyDescent="0.2">
      <c r="A74" s="16"/>
      <c r="B74" s="21" t="s">
        <v>273</v>
      </c>
      <c r="C74" s="17" t="s">
        <v>31</v>
      </c>
      <c r="D74" s="17" t="s">
        <v>234</v>
      </c>
      <c r="E74" s="17" t="s">
        <v>180</v>
      </c>
      <c r="F74" s="16"/>
    </row>
    <row r="75" spans="1:6" x14ac:dyDescent="0.2">
      <c r="A75" s="16"/>
      <c r="B75" s="21" t="s">
        <v>127</v>
      </c>
      <c r="C75" s="17" t="s">
        <v>33</v>
      </c>
      <c r="D75" s="17" t="s">
        <v>233</v>
      </c>
      <c r="E75" s="17" t="s">
        <v>181</v>
      </c>
      <c r="F75" s="16"/>
    </row>
    <row r="76" spans="1:6" x14ac:dyDescent="0.2">
      <c r="A76" s="16"/>
      <c r="B76" s="21" t="s">
        <v>128</v>
      </c>
      <c r="C76" s="17" t="s">
        <v>34</v>
      </c>
      <c r="D76" s="17" t="s">
        <v>221</v>
      </c>
      <c r="E76" s="17" t="s">
        <v>182</v>
      </c>
      <c r="F76" s="16"/>
    </row>
    <row r="77" spans="1:6" x14ac:dyDescent="0.2">
      <c r="A77" s="16"/>
      <c r="B77" s="21" t="s">
        <v>129</v>
      </c>
      <c r="C77" s="17" t="s">
        <v>35</v>
      </c>
      <c r="D77" s="17" t="s">
        <v>222</v>
      </c>
      <c r="E77" s="17" t="s">
        <v>183</v>
      </c>
      <c r="F77" s="16"/>
    </row>
    <row r="78" spans="1:6" x14ac:dyDescent="0.2">
      <c r="A78" s="16"/>
      <c r="B78" s="21" t="s">
        <v>133</v>
      </c>
      <c r="C78" s="17" t="s">
        <v>36</v>
      </c>
      <c r="D78" s="17" t="s">
        <v>223</v>
      </c>
      <c r="E78" s="17" t="s">
        <v>184</v>
      </c>
      <c r="F78" s="16"/>
    </row>
    <row r="79" spans="1:6" x14ac:dyDescent="0.2">
      <c r="A79" s="16"/>
      <c r="B79" s="21" t="s">
        <v>134</v>
      </c>
      <c r="C79" s="17" t="s">
        <v>37</v>
      </c>
      <c r="D79" s="17" t="s">
        <v>224</v>
      </c>
      <c r="E79" s="17" t="s">
        <v>185</v>
      </c>
      <c r="F79" s="16"/>
    </row>
    <row r="80" spans="1:6" x14ac:dyDescent="0.2">
      <c r="A80" s="16"/>
      <c r="B80" s="21" t="s">
        <v>135</v>
      </c>
      <c r="C80" s="17" t="s">
        <v>38</v>
      </c>
      <c r="D80" s="17" t="s">
        <v>225</v>
      </c>
      <c r="E80" s="17" t="s">
        <v>186</v>
      </c>
      <c r="F80" s="16"/>
    </row>
    <row r="81" spans="1:6" x14ac:dyDescent="0.2">
      <c r="A81" s="16"/>
      <c r="B81" s="21" t="s">
        <v>136</v>
      </c>
      <c r="C81" s="17" t="s">
        <v>39</v>
      </c>
      <c r="D81" s="17" t="s">
        <v>226</v>
      </c>
      <c r="E81" s="17" t="s">
        <v>187</v>
      </c>
      <c r="F81" s="16"/>
    </row>
    <row r="82" spans="1:6" x14ac:dyDescent="0.2">
      <c r="A82" s="16"/>
      <c r="B82" s="21" t="s">
        <v>137</v>
      </c>
      <c r="C82" s="17" t="s">
        <v>40</v>
      </c>
      <c r="D82" s="17" t="s">
        <v>227</v>
      </c>
      <c r="E82" s="17" t="s">
        <v>188</v>
      </c>
      <c r="F82" s="16"/>
    </row>
    <row r="83" spans="1:6" ht="25.5" x14ac:dyDescent="0.2">
      <c r="A83" s="16"/>
      <c r="B83" s="21" t="s">
        <v>138</v>
      </c>
      <c r="C83" s="17" t="s">
        <v>41</v>
      </c>
      <c r="D83" s="17" t="s">
        <v>228</v>
      </c>
      <c r="E83" s="17" t="s">
        <v>189</v>
      </c>
      <c r="F83" s="16"/>
    </row>
    <row r="84" spans="1:6" ht="38.25" x14ac:dyDescent="0.2">
      <c r="A84" s="16"/>
      <c r="B84" s="21" t="s">
        <v>139</v>
      </c>
      <c r="C84" s="17" t="s">
        <v>42</v>
      </c>
      <c r="D84" s="17" t="s">
        <v>229</v>
      </c>
      <c r="E84" s="17" t="s">
        <v>190</v>
      </c>
      <c r="F84" s="16"/>
    </row>
    <row r="85" spans="1:6" ht="25.5" x14ac:dyDescent="0.2">
      <c r="A85" s="16"/>
      <c r="B85" s="21" t="s">
        <v>140</v>
      </c>
      <c r="C85" s="17" t="s">
        <v>43</v>
      </c>
      <c r="D85" s="17" t="s">
        <v>230</v>
      </c>
      <c r="E85" s="17" t="s">
        <v>191</v>
      </c>
      <c r="F85" s="16"/>
    </row>
    <row r="86" spans="1:6" x14ac:dyDescent="0.2">
      <c r="A86" s="16"/>
      <c r="B86" s="21" t="s">
        <v>141</v>
      </c>
      <c r="C86" s="17" t="s">
        <v>274</v>
      </c>
      <c r="D86" s="17" t="s">
        <v>275</v>
      </c>
      <c r="E86" s="17" t="s">
        <v>192</v>
      </c>
      <c r="F86" s="16"/>
    </row>
    <row r="87" spans="1:6" x14ac:dyDescent="0.2">
      <c r="A87" s="16"/>
      <c r="B87" s="21" t="s">
        <v>142</v>
      </c>
      <c r="C87" s="17" t="s">
        <v>45</v>
      </c>
      <c r="D87" s="17" t="s">
        <v>231</v>
      </c>
      <c r="E87" s="17" t="s">
        <v>193</v>
      </c>
      <c r="F87" s="16"/>
    </row>
    <row r="88" spans="1:6" x14ac:dyDescent="0.2">
      <c r="A88" s="16"/>
      <c r="B88" s="21" t="s">
        <v>143</v>
      </c>
      <c r="C88" s="17" t="s">
        <v>46</v>
      </c>
      <c r="D88" s="17" t="s">
        <v>232</v>
      </c>
      <c r="E88" s="17" t="s">
        <v>194</v>
      </c>
      <c r="F88" s="16"/>
    </row>
    <row r="89" spans="1:6" x14ac:dyDescent="0.2">
      <c r="A89" s="16"/>
      <c r="B89" s="16"/>
      <c r="C89" s="16"/>
      <c r="D89" s="16"/>
      <c r="E89" s="16"/>
      <c r="F89" s="16"/>
    </row>
    <row r="90" spans="1:6" x14ac:dyDescent="0.2">
      <c r="A90" s="16" t="s">
        <v>107</v>
      </c>
      <c r="B90" s="24" t="s">
        <v>144</v>
      </c>
      <c r="C90" s="20" t="s">
        <v>277</v>
      </c>
      <c r="D90" s="20" t="s">
        <v>278</v>
      </c>
      <c r="E90" s="20" t="s">
        <v>279</v>
      </c>
      <c r="F90" s="16"/>
    </row>
    <row r="91" spans="1:6" x14ac:dyDescent="0.2">
      <c r="A91" s="16"/>
      <c r="B91" s="16"/>
      <c r="C91" s="16"/>
      <c r="D91" s="16"/>
      <c r="E91" s="16"/>
      <c r="F91" s="16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1019</Benutzerdefinierte_x0020_ID>
    <Titel_RM xmlns="9d1f6504-c754-4527-a358-047ce8521f96">Populaziun tenor status da migraziun, Svizra e Grischun, 2024</Titel_RM>
    <Titel_DE xmlns="9d1f6504-c754-4527-a358-047ce8521f96">Bevölkerung nach Migrationsstatus, Schweiz und Graubünden, 2024</Titel_DE>
    <PublishingExpirationDate xmlns="http://schemas.microsoft.com/sharepoint/v3" xsi:nil="true"/>
    <Kategorie xmlns="9d1f6504-c754-4527-a358-047ce8521f96">Migration und Integration</Kategorie>
    <PublishingStartDate xmlns="http://schemas.microsoft.com/sharepoint/v3" xsi:nil="true"/>
    <Titel_IT xmlns="9d1f6504-c754-4527-a358-047ce8521f96">Popolazione secondo lo statuto migratorio, in Svizzera e nei Grigioni, 2024</Titel_IT>
  </documentManagement>
</p:properties>
</file>

<file path=customXml/itemProps1.xml><?xml version="1.0" encoding="utf-8"?>
<ds:datastoreItem xmlns:ds="http://schemas.openxmlformats.org/officeDocument/2006/customXml" ds:itemID="{500B6FD9-2089-4EF6-97E8-F3D4774FB444}"/>
</file>

<file path=customXml/itemProps2.xml><?xml version="1.0" encoding="utf-8"?>
<ds:datastoreItem xmlns:ds="http://schemas.openxmlformats.org/officeDocument/2006/customXml" ds:itemID="{DB63DE8E-453C-41F5-A004-251715109DB0}"/>
</file>

<file path=customXml/itemProps3.xml><?xml version="1.0" encoding="utf-8"?>
<ds:datastoreItem xmlns:ds="http://schemas.openxmlformats.org/officeDocument/2006/customXml" ds:itemID="{910029C4-9BB4-4AE2-98A0-E465F0B0837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Kantone</vt:lpstr>
      <vt:lpstr>Graubünden</vt:lpstr>
      <vt:lpstr>Uebersetzungen</vt:lpstr>
      <vt:lpstr>Graubünden!Druckbereich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nach Migrationsstatus</dc:title>
  <dc:creator>Luzius.Stricker@awt.gr.ch</dc:creator>
  <cp:lastModifiedBy>Monstein Urs (AWT GR)</cp:lastModifiedBy>
  <cp:lastPrinted>2018-12-06T18:35:59Z</cp:lastPrinted>
  <dcterms:created xsi:type="dcterms:W3CDTF">2012-06-17T15:40:31Z</dcterms:created>
  <dcterms:modified xsi:type="dcterms:W3CDTF">2026-02-23T09:57:41Z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2025-10-09T06:37:47Z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16943036-8a73-45fe-8bfc-3b69316d1aa6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